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hisWorkbook" defaultThemeVersion="124226"/>
  <xr:revisionPtr revIDLastSave="0" documentId="8_{FC9603D5-D22D-C34B-BCFC-AE288781E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IMATE" sheetId="13" r:id="rId1"/>
  </sheets>
  <definedNames>
    <definedName name="_xlnm._FilterDatabase" localSheetId="0" hidden="1">ESTIMATE!$A$383:$CV$582</definedName>
    <definedName name="_xlnm.Print_Area" localSheetId="0">ESTIMATE!$A$1:$P$585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7" i="13" l="1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K282" i="13"/>
  <c r="J282" i="13"/>
  <c r="J249" i="13"/>
  <c r="J248" i="13"/>
  <c r="J247" i="13"/>
  <c r="J246" i="13"/>
  <c r="K249" i="13"/>
  <c r="K248" i="13"/>
  <c r="K247" i="13"/>
  <c r="K246" i="13"/>
  <c r="J243" i="13"/>
  <c r="J242" i="13"/>
  <c r="J241" i="13"/>
  <c r="J240" i="13"/>
  <c r="K243" i="13"/>
  <c r="K242" i="13"/>
  <c r="K241" i="13"/>
  <c r="K240" i="13"/>
  <c r="J245" i="13"/>
  <c r="J244" i="13"/>
  <c r="K245" i="13"/>
  <c r="K244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J229" i="13"/>
  <c r="J228" i="13"/>
  <c r="J227" i="13"/>
  <c r="J226" i="13"/>
  <c r="K229" i="13"/>
  <c r="K228" i="13"/>
  <c r="K227" i="13"/>
  <c r="K226" i="13"/>
  <c r="J239" i="13"/>
  <c r="J238" i="13"/>
  <c r="J237" i="13"/>
  <c r="J236" i="13"/>
  <c r="J235" i="13"/>
  <c r="K239" i="13"/>
  <c r="K238" i="13"/>
  <c r="K237" i="13"/>
  <c r="K236" i="13"/>
  <c r="K235" i="13"/>
  <c r="J234" i="13"/>
  <c r="J233" i="13"/>
  <c r="J232" i="13"/>
  <c r="J231" i="13"/>
  <c r="K234" i="13"/>
  <c r="K233" i="13"/>
  <c r="K232" i="13"/>
  <c r="K231" i="13"/>
  <c r="J230" i="13"/>
  <c r="K230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J199" i="13"/>
  <c r="K199" i="13"/>
  <c r="J183" i="13"/>
  <c r="J182" i="13"/>
  <c r="J181" i="13"/>
  <c r="K183" i="13"/>
  <c r="K182" i="13"/>
  <c r="K181" i="13"/>
  <c r="J180" i="13"/>
  <c r="K180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68" i="13"/>
  <c r="J269" i="13"/>
  <c r="J270" i="13"/>
  <c r="J271" i="13"/>
  <c r="J272" i="13"/>
  <c r="J273" i="13"/>
  <c r="J274" i="13"/>
  <c r="J253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74" i="13"/>
  <c r="K273" i="13"/>
  <c r="K272" i="13"/>
  <c r="K271" i="13"/>
  <c r="K270" i="13"/>
  <c r="K269" i="13"/>
  <c r="K268" i="13"/>
  <c r="J280" i="13"/>
  <c r="J279" i="13"/>
  <c r="J278" i="13"/>
  <c r="J277" i="13"/>
  <c r="K280" i="13"/>
  <c r="K279" i="13"/>
  <c r="K278" i="13"/>
  <c r="K277" i="13"/>
  <c r="J276" i="13"/>
  <c r="K276" i="13"/>
  <c r="A576" i="13"/>
  <c r="A571" i="13"/>
  <c r="A570" i="13"/>
  <c r="A569" i="13"/>
  <c r="A568" i="13"/>
  <c r="A567" i="13"/>
  <c r="A565" i="13"/>
  <c r="A564" i="13"/>
  <c r="A563" i="13"/>
  <c r="A562" i="13"/>
  <c r="A560" i="13"/>
  <c r="A559" i="13"/>
  <c r="A558" i="13"/>
  <c r="A557" i="13"/>
  <c r="A549" i="13"/>
  <c r="A548" i="13"/>
  <c r="A547" i="13"/>
  <c r="A546" i="13"/>
  <c r="A545" i="13"/>
  <c r="A543" i="13"/>
  <c r="A542" i="13"/>
  <c r="A541" i="13"/>
  <c r="A540" i="13"/>
  <c r="A539" i="13"/>
  <c r="A534" i="13"/>
  <c r="A533" i="13"/>
  <c r="A532" i="13"/>
  <c r="A531" i="13"/>
  <c r="A530" i="13"/>
  <c r="A525" i="13"/>
  <c r="A524" i="13"/>
  <c r="A521" i="13"/>
  <c r="A520" i="13"/>
  <c r="A519" i="13"/>
  <c r="A518" i="13"/>
  <c r="A517" i="13"/>
  <c r="A512" i="13"/>
  <c r="A506" i="13"/>
  <c r="A501" i="13"/>
  <c r="A494" i="13"/>
  <c r="A493" i="13"/>
  <c r="A492" i="13"/>
  <c r="A491" i="13"/>
  <c r="A483" i="13"/>
  <c r="A482" i="13"/>
  <c r="A481" i="13"/>
  <c r="A480" i="13"/>
  <c r="A471" i="13"/>
  <c r="A470" i="13"/>
  <c r="A469" i="13"/>
  <c r="A468" i="13"/>
  <c r="A466" i="13"/>
  <c r="A465" i="13"/>
  <c r="A464" i="13"/>
  <c r="A463" i="13"/>
  <c r="A461" i="13"/>
  <c r="A460" i="13"/>
  <c r="A459" i="13"/>
  <c r="A458" i="13"/>
  <c r="A449" i="13"/>
  <c r="A448" i="13"/>
  <c r="A447" i="13"/>
  <c r="A446" i="13"/>
  <c r="A437" i="13"/>
  <c r="A436" i="13"/>
  <c r="A435" i="13"/>
  <c r="A434" i="13"/>
  <c r="A425" i="13"/>
  <c r="A424" i="13"/>
  <c r="A423" i="13"/>
  <c r="A422" i="13"/>
  <c r="A414" i="13"/>
  <c r="A413" i="13"/>
  <c r="A412" i="13"/>
  <c r="A411" i="13"/>
  <c r="A405" i="13"/>
  <c r="A404" i="13"/>
  <c r="A403" i="13"/>
  <c r="A402" i="13"/>
  <c r="A392" i="13"/>
  <c r="A391" i="13"/>
  <c r="A390" i="13"/>
  <c r="A389" i="13"/>
  <c r="A382" i="13"/>
  <c r="A381" i="13"/>
  <c r="A380" i="13"/>
  <c r="A379" i="13"/>
  <c r="A378" i="13"/>
  <c r="A364" i="13"/>
  <c r="A345" i="13"/>
  <c r="A344" i="13"/>
  <c r="A343" i="13"/>
  <c r="A342" i="13"/>
  <c r="A341" i="13"/>
  <c r="A339" i="13"/>
  <c r="A332" i="13"/>
  <c r="A329" i="13"/>
  <c r="A327" i="13"/>
  <c r="A322" i="13"/>
  <c r="A319" i="13"/>
  <c r="A314" i="13"/>
  <c r="A310" i="13"/>
  <c r="A309" i="13"/>
  <c r="A304" i="13"/>
  <c r="A299" i="13"/>
  <c r="A293" i="13"/>
  <c r="A288" i="13"/>
  <c r="A287" i="13"/>
  <c r="A286" i="13"/>
  <c r="A285" i="13"/>
  <c r="A284" i="13"/>
  <c r="A283" i="13"/>
  <c r="A281" i="13"/>
  <c r="A275" i="13"/>
  <c r="A252" i="13"/>
  <c r="A250" i="13"/>
  <c r="A184" i="13"/>
  <c r="A179" i="13"/>
  <c r="A178" i="13"/>
  <c r="A177" i="13"/>
  <c r="A176" i="13"/>
  <c r="A175" i="13"/>
  <c r="A156" i="13"/>
  <c r="A152" i="13"/>
  <c r="A150" i="13"/>
  <c r="A143" i="13"/>
  <c r="A142" i="13"/>
  <c r="A141" i="13"/>
  <c r="A140" i="13"/>
  <c r="A139" i="13"/>
  <c r="A136" i="13"/>
  <c r="A135" i="13"/>
  <c r="A133" i="13"/>
  <c r="A132" i="13"/>
  <c r="A128" i="13"/>
  <c r="A127" i="13"/>
  <c r="A123" i="13"/>
  <c r="A122" i="13"/>
  <c r="A117" i="13"/>
  <c r="A116" i="13"/>
  <c r="A115" i="13"/>
  <c r="A110" i="13"/>
  <c r="A109" i="13"/>
  <c r="A108" i="13"/>
  <c r="A105" i="13"/>
  <c r="A104" i="13"/>
  <c r="A99" i="13"/>
  <c r="A98" i="13"/>
  <c r="A97" i="13"/>
  <c r="A91" i="13"/>
  <c r="A90" i="13"/>
  <c r="A84" i="13"/>
  <c r="A83" i="13"/>
  <c r="A78" i="13"/>
  <c r="A77" i="13"/>
  <c r="A76" i="13"/>
  <c r="A67" i="13"/>
  <c r="A66" i="13"/>
  <c r="A59" i="13"/>
  <c r="A58" i="13"/>
  <c r="A52" i="13"/>
  <c r="A51" i="13"/>
  <c r="A50" i="13"/>
  <c r="A44" i="13"/>
  <c r="A43" i="13"/>
  <c r="A37" i="13"/>
  <c r="A36" i="13"/>
  <c r="A30" i="13"/>
  <c r="A23" i="13"/>
  <c r="A22" i="13"/>
  <c r="A16" i="13"/>
  <c r="A15" i="13"/>
  <c r="I167" i="13"/>
  <c r="L167" i="13"/>
  <c r="G106" i="13"/>
  <c r="I106" i="13"/>
  <c r="I107" i="13"/>
  <c r="G145" i="13"/>
  <c r="G144" i="13"/>
  <c r="M167" i="13"/>
  <c r="N167" i="13"/>
  <c r="M106" i="13"/>
  <c r="L106" i="13"/>
  <c r="L107" i="13"/>
  <c r="M107" i="13"/>
  <c r="I278" i="13"/>
  <c r="L278" i="13"/>
  <c r="I277" i="13"/>
  <c r="L277" i="13"/>
  <c r="I276" i="13"/>
  <c r="M276" i="13"/>
  <c r="I274" i="13"/>
  <c r="M274" i="13"/>
  <c r="I273" i="13"/>
  <c r="M273" i="13"/>
  <c r="I272" i="13"/>
  <c r="M272" i="13"/>
  <c r="I271" i="13"/>
  <c r="L271" i="13"/>
  <c r="I270" i="13"/>
  <c r="M270" i="13"/>
  <c r="I269" i="13"/>
  <c r="L269" i="13"/>
  <c r="I268" i="13"/>
  <c r="L268" i="13"/>
  <c r="I267" i="13"/>
  <c r="M267" i="13"/>
  <c r="I266" i="13"/>
  <c r="M266" i="13"/>
  <c r="I265" i="13"/>
  <c r="L265" i="13"/>
  <c r="I264" i="13"/>
  <c r="L264" i="13"/>
  <c r="I263" i="13"/>
  <c r="L263" i="13"/>
  <c r="I262" i="13"/>
  <c r="M262" i="13"/>
  <c r="I261" i="13"/>
  <c r="M261" i="13"/>
  <c r="I260" i="13"/>
  <c r="L260" i="13"/>
  <c r="I259" i="13"/>
  <c r="M259" i="13"/>
  <c r="I258" i="13"/>
  <c r="M258" i="13"/>
  <c r="I257" i="13"/>
  <c r="M257" i="13"/>
  <c r="I256" i="13"/>
  <c r="L256" i="13"/>
  <c r="I255" i="13"/>
  <c r="L255" i="13"/>
  <c r="I254" i="13"/>
  <c r="M254" i="13"/>
  <c r="I253" i="13"/>
  <c r="M253" i="13"/>
  <c r="I251" i="13"/>
  <c r="L251" i="13"/>
  <c r="I249" i="13"/>
  <c r="M249" i="13"/>
  <c r="I248" i="13"/>
  <c r="M248" i="13"/>
  <c r="I247" i="13"/>
  <c r="L247" i="13"/>
  <c r="I246" i="13"/>
  <c r="L246" i="13"/>
  <c r="I245" i="13"/>
  <c r="L245" i="13"/>
  <c r="I244" i="13"/>
  <c r="L244" i="13"/>
  <c r="I243" i="13"/>
  <c r="M243" i="13"/>
  <c r="I242" i="13"/>
  <c r="M242" i="13"/>
  <c r="I241" i="13"/>
  <c r="L241" i="13"/>
  <c r="I240" i="13"/>
  <c r="M240" i="13"/>
  <c r="I239" i="13"/>
  <c r="M239" i="13"/>
  <c r="I238" i="13"/>
  <c r="L238" i="13"/>
  <c r="I237" i="13"/>
  <c r="L237" i="13"/>
  <c r="I236" i="13"/>
  <c r="L236" i="13"/>
  <c r="I235" i="13"/>
  <c r="M235" i="13"/>
  <c r="I234" i="13"/>
  <c r="M234" i="13"/>
  <c r="I233" i="13"/>
  <c r="M233" i="13"/>
  <c r="I232" i="13"/>
  <c r="M232" i="13"/>
  <c r="I231" i="13"/>
  <c r="M231" i="13"/>
  <c r="I230" i="13"/>
  <c r="L230" i="13"/>
  <c r="I229" i="13"/>
  <c r="L229" i="13"/>
  <c r="I228" i="13"/>
  <c r="L228" i="13"/>
  <c r="I227" i="13"/>
  <c r="M227" i="13"/>
  <c r="I226" i="13"/>
  <c r="M226" i="13"/>
  <c r="I225" i="13"/>
  <c r="M225" i="13"/>
  <c r="I224" i="13"/>
  <c r="M224" i="13"/>
  <c r="I223" i="13"/>
  <c r="M223" i="13"/>
  <c r="I222" i="13"/>
  <c r="M222" i="13"/>
  <c r="I221" i="13"/>
  <c r="L221" i="13"/>
  <c r="I220" i="13"/>
  <c r="L220" i="13"/>
  <c r="I219" i="13"/>
  <c r="M219" i="13"/>
  <c r="I218" i="13"/>
  <c r="M218" i="13"/>
  <c r="I217" i="13"/>
  <c r="L217" i="13"/>
  <c r="I216" i="13"/>
  <c r="M216" i="13"/>
  <c r="I215" i="13"/>
  <c r="M215" i="13"/>
  <c r="I214" i="13"/>
  <c r="L214" i="13"/>
  <c r="I538" i="13"/>
  <c r="M538" i="13"/>
  <c r="I537" i="13"/>
  <c r="M537" i="13"/>
  <c r="I536" i="13"/>
  <c r="L536" i="13"/>
  <c r="I535" i="13"/>
  <c r="M535" i="13"/>
  <c r="I555" i="13"/>
  <c r="M555" i="13"/>
  <c r="I554" i="13"/>
  <c r="M554" i="13"/>
  <c r="I553" i="13"/>
  <c r="M553" i="13"/>
  <c r="I529" i="13"/>
  <c r="M529" i="13"/>
  <c r="G462" i="13"/>
  <c r="I462" i="13"/>
  <c r="I516" i="13"/>
  <c r="M516" i="13"/>
  <c r="G498" i="13"/>
  <c r="I498" i="13"/>
  <c r="M498" i="13"/>
  <c r="G496" i="13"/>
  <c r="I496" i="13"/>
  <c r="M496" i="13"/>
  <c r="G495" i="13"/>
  <c r="I495" i="13"/>
  <c r="M495" i="13"/>
  <c r="G490" i="13"/>
  <c r="I490" i="13"/>
  <c r="G488" i="13"/>
  <c r="I488" i="13"/>
  <c r="M488" i="13"/>
  <c r="G487" i="13"/>
  <c r="I487" i="13"/>
  <c r="L487" i="13"/>
  <c r="G486" i="13"/>
  <c r="I486" i="13"/>
  <c r="G484" i="13"/>
  <c r="I484" i="13"/>
  <c r="M484" i="13"/>
  <c r="G479" i="13"/>
  <c r="I479" i="13"/>
  <c r="G475" i="13"/>
  <c r="I475" i="13"/>
  <c r="L475" i="13"/>
  <c r="G473" i="13"/>
  <c r="I473" i="13"/>
  <c r="L473" i="13"/>
  <c r="G472" i="13"/>
  <c r="I472" i="13"/>
  <c r="M472" i="13"/>
  <c r="G467" i="13"/>
  <c r="I467" i="13"/>
  <c r="G457" i="13"/>
  <c r="I457" i="13"/>
  <c r="G455" i="13"/>
  <c r="I455" i="13"/>
  <c r="L455" i="13"/>
  <c r="G454" i="13"/>
  <c r="I454" i="13"/>
  <c r="M454" i="13"/>
  <c r="G453" i="13"/>
  <c r="I453" i="13"/>
  <c r="L453" i="13"/>
  <c r="G452" i="13"/>
  <c r="I452" i="13"/>
  <c r="M452" i="13"/>
  <c r="G451" i="13"/>
  <c r="I451" i="13"/>
  <c r="M451" i="13"/>
  <c r="G450" i="13"/>
  <c r="I450" i="13"/>
  <c r="M450" i="13"/>
  <c r="G445" i="13"/>
  <c r="I445" i="13"/>
  <c r="G443" i="13"/>
  <c r="I443" i="13"/>
  <c r="L443" i="13"/>
  <c r="G442" i="13"/>
  <c r="I442" i="13"/>
  <c r="M442" i="13"/>
  <c r="G441" i="13"/>
  <c r="I441" i="13"/>
  <c r="M441" i="13"/>
  <c r="G438" i="13"/>
  <c r="I438" i="13"/>
  <c r="M438" i="13"/>
  <c r="G433" i="13"/>
  <c r="I433" i="13"/>
  <c r="G431" i="13"/>
  <c r="I431" i="13"/>
  <c r="L431" i="13"/>
  <c r="G430" i="13"/>
  <c r="I430" i="13"/>
  <c r="M430" i="13"/>
  <c r="G429" i="13"/>
  <c r="I429" i="13"/>
  <c r="L429" i="13"/>
  <c r="G426" i="13"/>
  <c r="I426" i="13"/>
  <c r="G421" i="13"/>
  <c r="I421" i="13"/>
  <c r="G419" i="13"/>
  <c r="I419" i="13"/>
  <c r="L419" i="13"/>
  <c r="G418" i="13"/>
  <c r="I418" i="13"/>
  <c r="M418" i="13"/>
  <c r="G417" i="13"/>
  <c r="I417" i="13"/>
  <c r="M417" i="13"/>
  <c r="G415" i="13"/>
  <c r="I415" i="13"/>
  <c r="M415" i="13"/>
  <c r="G410" i="13"/>
  <c r="I410" i="13"/>
  <c r="G408" i="13"/>
  <c r="I408" i="13"/>
  <c r="M408" i="13"/>
  <c r="G401" i="13"/>
  <c r="I401" i="13"/>
  <c r="G400" i="13"/>
  <c r="I400" i="13"/>
  <c r="M400" i="13"/>
  <c r="G399" i="13"/>
  <c r="I399" i="13"/>
  <c r="M399" i="13"/>
  <c r="G398" i="13"/>
  <c r="I398" i="13"/>
  <c r="L398" i="13"/>
  <c r="G397" i="13"/>
  <c r="I397" i="13"/>
  <c r="M397" i="13"/>
  <c r="G395" i="13"/>
  <c r="I395" i="13"/>
  <c r="L395" i="13"/>
  <c r="G388" i="13"/>
  <c r="I388" i="13"/>
  <c r="G387" i="13"/>
  <c r="I387" i="13"/>
  <c r="M387" i="13"/>
  <c r="G386" i="13"/>
  <c r="I386" i="13"/>
  <c r="M386" i="13"/>
  <c r="G385" i="13"/>
  <c r="I385" i="13"/>
  <c r="M385" i="13"/>
  <c r="G384" i="13"/>
  <c r="I384" i="13"/>
  <c r="M384" i="13"/>
  <c r="I511" i="13"/>
  <c r="M511" i="13"/>
  <c r="I510" i="13"/>
  <c r="M510" i="13"/>
  <c r="I509" i="13"/>
  <c r="M509" i="13"/>
  <c r="I508" i="13"/>
  <c r="M508" i="13"/>
  <c r="I507" i="13"/>
  <c r="M507" i="13"/>
  <c r="I505" i="13"/>
  <c r="M505" i="13"/>
  <c r="I504" i="13"/>
  <c r="M504" i="13"/>
  <c r="I503" i="13"/>
  <c r="M503" i="13"/>
  <c r="I502" i="13"/>
  <c r="M502" i="13"/>
  <c r="I500" i="13"/>
  <c r="M500" i="13"/>
  <c r="I499" i="13"/>
  <c r="M499" i="13"/>
  <c r="I497" i="13"/>
  <c r="L497" i="13"/>
  <c r="I485" i="13"/>
  <c r="L485" i="13"/>
  <c r="I477" i="13"/>
  <c r="L477" i="13"/>
  <c r="I476" i="13"/>
  <c r="M476" i="13"/>
  <c r="I474" i="13"/>
  <c r="M474" i="13"/>
  <c r="I440" i="13"/>
  <c r="M440" i="13"/>
  <c r="I439" i="13"/>
  <c r="L439" i="13"/>
  <c r="I428" i="13"/>
  <c r="M428" i="13"/>
  <c r="I427" i="13"/>
  <c r="L427" i="13"/>
  <c r="I416" i="13"/>
  <c r="L416" i="13"/>
  <c r="I407" i="13"/>
  <c r="L407" i="13"/>
  <c r="I406" i="13"/>
  <c r="M406" i="13"/>
  <c r="I394" i="13"/>
  <c r="L394" i="13"/>
  <c r="I393" i="13"/>
  <c r="M393" i="13"/>
  <c r="I377" i="13"/>
  <c r="L377" i="13"/>
  <c r="I376" i="13"/>
  <c r="M376" i="13"/>
  <c r="I375" i="13"/>
  <c r="M375" i="13"/>
  <c r="I374" i="13"/>
  <c r="L374" i="13"/>
  <c r="I373" i="13"/>
  <c r="M373" i="13"/>
  <c r="I372" i="13"/>
  <c r="M372" i="13"/>
  <c r="I371" i="13"/>
  <c r="L371" i="13"/>
  <c r="I370" i="13"/>
  <c r="M370" i="13"/>
  <c r="I369" i="13"/>
  <c r="M369" i="13"/>
  <c r="I368" i="13"/>
  <c r="M368" i="13"/>
  <c r="I367" i="13"/>
  <c r="M367" i="13"/>
  <c r="I366" i="13"/>
  <c r="M366" i="13"/>
  <c r="I365" i="13"/>
  <c r="L365" i="13"/>
  <c r="I363" i="13"/>
  <c r="L363" i="13"/>
  <c r="I362" i="13"/>
  <c r="L362" i="13"/>
  <c r="I361" i="13"/>
  <c r="M361" i="13"/>
  <c r="I360" i="13"/>
  <c r="M360" i="13"/>
  <c r="I359" i="13"/>
  <c r="M359" i="13"/>
  <c r="I358" i="13"/>
  <c r="L358" i="13"/>
  <c r="I357" i="13"/>
  <c r="L357" i="13"/>
  <c r="I356" i="13"/>
  <c r="M356" i="13"/>
  <c r="I355" i="13"/>
  <c r="M355" i="13"/>
  <c r="I354" i="13"/>
  <c r="L354" i="13"/>
  <c r="I353" i="13"/>
  <c r="L353" i="13"/>
  <c r="I352" i="13"/>
  <c r="M352" i="13"/>
  <c r="I351" i="13"/>
  <c r="M351" i="13"/>
  <c r="I331" i="13"/>
  <c r="L331" i="13"/>
  <c r="G340" i="13"/>
  <c r="I340" i="13"/>
  <c r="M340" i="13"/>
  <c r="I338" i="13"/>
  <c r="L338" i="13"/>
  <c r="I337" i="13"/>
  <c r="M337" i="13"/>
  <c r="I336" i="13"/>
  <c r="L336" i="13"/>
  <c r="I335" i="13"/>
  <c r="M335" i="13"/>
  <c r="I334" i="13"/>
  <c r="M334" i="13"/>
  <c r="I333" i="13"/>
  <c r="M333" i="13"/>
  <c r="I330" i="13"/>
  <c r="M330" i="13"/>
  <c r="I328" i="13"/>
  <c r="L328" i="13"/>
  <c r="I326" i="13"/>
  <c r="L326" i="13"/>
  <c r="I325" i="13"/>
  <c r="L325" i="13"/>
  <c r="I324" i="13"/>
  <c r="M324" i="13"/>
  <c r="I323" i="13"/>
  <c r="M323" i="13"/>
  <c r="I321" i="13"/>
  <c r="M321" i="13"/>
  <c r="I320" i="13"/>
  <c r="M320" i="13"/>
  <c r="I318" i="13"/>
  <c r="M318" i="13"/>
  <c r="I317" i="13"/>
  <c r="L317" i="13"/>
  <c r="I316" i="13"/>
  <c r="M316" i="13"/>
  <c r="I315" i="13"/>
  <c r="L315" i="13"/>
  <c r="I313" i="13"/>
  <c r="M313" i="13"/>
  <c r="I312" i="13"/>
  <c r="M312" i="13"/>
  <c r="I311" i="13"/>
  <c r="L311" i="13"/>
  <c r="I308" i="13"/>
  <c r="M308" i="13"/>
  <c r="I307" i="13"/>
  <c r="M307" i="13"/>
  <c r="I306" i="13"/>
  <c r="L306" i="13"/>
  <c r="I305" i="13"/>
  <c r="M305" i="13"/>
  <c r="I303" i="13"/>
  <c r="M303" i="13"/>
  <c r="I302" i="13"/>
  <c r="M302" i="13"/>
  <c r="I301" i="13"/>
  <c r="L301" i="13"/>
  <c r="I300" i="13"/>
  <c r="M300" i="13"/>
  <c r="I298" i="13"/>
  <c r="L298" i="13"/>
  <c r="I297" i="13"/>
  <c r="L297" i="13"/>
  <c r="I296" i="13"/>
  <c r="M296" i="13"/>
  <c r="I295" i="13"/>
  <c r="M295" i="13"/>
  <c r="I294" i="13"/>
  <c r="M294" i="13"/>
  <c r="I292" i="13"/>
  <c r="M292" i="13"/>
  <c r="I291" i="13"/>
  <c r="M291" i="13"/>
  <c r="I290" i="13"/>
  <c r="L290" i="13"/>
  <c r="I174" i="13"/>
  <c r="L174" i="13"/>
  <c r="I173" i="13"/>
  <c r="M173" i="13"/>
  <c r="I172" i="13"/>
  <c r="L172" i="13"/>
  <c r="I171" i="13"/>
  <c r="M171" i="13"/>
  <c r="I170" i="13"/>
  <c r="M170" i="13"/>
  <c r="I169" i="13"/>
  <c r="M169" i="13"/>
  <c r="I168" i="13"/>
  <c r="M168" i="13"/>
  <c r="I166" i="13"/>
  <c r="M166" i="13"/>
  <c r="I165" i="13"/>
  <c r="L165" i="13"/>
  <c r="I164" i="13"/>
  <c r="L164" i="13"/>
  <c r="I163" i="13"/>
  <c r="M163" i="13"/>
  <c r="I162" i="13"/>
  <c r="L162" i="13"/>
  <c r="I161" i="13"/>
  <c r="M161" i="13"/>
  <c r="I160" i="13"/>
  <c r="M160" i="13"/>
  <c r="I159" i="13"/>
  <c r="L159" i="13"/>
  <c r="I158" i="13"/>
  <c r="M158" i="13"/>
  <c r="I157" i="13"/>
  <c r="L157" i="13"/>
  <c r="I155" i="13"/>
  <c r="M155" i="13"/>
  <c r="I153" i="13"/>
  <c r="L153" i="13"/>
  <c r="I154" i="13"/>
  <c r="L154" i="13"/>
  <c r="G134" i="13"/>
  <c r="I134" i="13"/>
  <c r="I138" i="13"/>
  <c r="L138" i="13"/>
  <c r="I137" i="13"/>
  <c r="G129" i="13"/>
  <c r="I129" i="13"/>
  <c r="M129" i="13"/>
  <c r="I131" i="13"/>
  <c r="M131" i="13"/>
  <c r="I130" i="13"/>
  <c r="M130" i="13"/>
  <c r="G114" i="13"/>
  <c r="I114" i="13"/>
  <c r="G113" i="13"/>
  <c r="I113" i="13"/>
  <c r="G112" i="13"/>
  <c r="I112" i="13"/>
  <c r="G111" i="13"/>
  <c r="I111" i="13"/>
  <c r="L111" i="13"/>
  <c r="G103" i="13"/>
  <c r="I103" i="13"/>
  <c r="G102" i="13"/>
  <c r="I102" i="13"/>
  <c r="G101" i="13"/>
  <c r="I101" i="13"/>
  <c r="G100" i="13"/>
  <c r="I100" i="13"/>
  <c r="G125" i="13"/>
  <c r="I125" i="13"/>
  <c r="G126" i="13"/>
  <c r="I126" i="13"/>
  <c r="G124" i="13"/>
  <c r="I124" i="13"/>
  <c r="G121" i="13"/>
  <c r="I120" i="13"/>
  <c r="G56" i="13"/>
  <c r="G96" i="13"/>
  <c r="I96" i="13"/>
  <c r="G95" i="13"/>
  <c r="I95" i="13"/>
  <c r="G94" i="13"/>
  <c r="I94" i="13"/>
  <c r="G93" i="13"/>
  <c r="I93" i="13"/>
  <c r="G92" i="13"/>
  <c r="I92" i="13"/>
  <c r="M92" i="13"/>
  <c r="G82" i="13"/>
  <c r="G81" i="13"/>
  <c r="G80" i="13"/>
  <c r="G89" i="13"/>
  <c r="I89" i="13"/>
  <c r="G88" i="13"/>
  <c r="G87" i="13"/>
  <c r="I87" i="13"/>
  <c r="G86" i="13"/>
  <c r="I86" i="13"/>
  <c r="G85" i="13"/>
  <c r="I85" i="13"/>
  <c r="G75" i="13"/>
  <c r="I74" i="13"/>
  <c r="G72" i="13"/>
  <c r="I72" i="13"/>
  <c r="G71" i="13"/>
  <c r="I71" i="13"/>
  <c r="G70" i="13"/>
  <c r="I70" i="13"/>
  <c r="G69" i="13"/>
  <c r="I69" i="13"/>
  <c r="G68" i="13"/>
  <c r="I68" i="13"/>
  <c r="G64" i="13"/>
  <c r="G63" i="13"/>
  <c r="G62" i="13"/>
  <c r="G61" i="13"/>
  <c r="G60" i="13"/>
  <c r="G55" i="13"/>
  <c r="G54" i="13"/>
  <c r="G53" i="13"/>
  <c r="G48" i="13"/>
  <c r="I48" i="13"/>
  <c r="G47" i="13"/>
  <c r="I47" i="13"/>
  <c r="G45" i="13"/>
  <c r="I45" i="13"/>
  <c r="G46" i="13"/>
  <c r="I46" i="13"/>
  <c r="G41" i="13"/>
  <c r="I41" i="13"/>
  <c r="G40" i="13"/>
  <c r="I40" i="13"/>
  <c r="G39" i="13"/>
  <c r="I39" i="13"/>
  <c r="G38" i="13"/>
  <c r="I38" i="13"/>
  <c r="G34" i="13"/>
  <c r="I34" i="13"/>
  <c r="G33" i="13"/>
  <c r="I33" i="13"/>
  <c r="G32" i="13"/>
  <c r="I32" i="13"/>
  <c r="G31" i="13"/>
  <c r="A29" i="13"/>
  <c r="G27" i="13"/>
  <c r="G26" i="13"/>
  <c r="G25" i="13"/>
  <c r="G24" i="13"/>
  <c r="G20" i="13"/>
  <c r="G19" i="13"/>
  <c r="G18" i="13"/>
  <c r="G17" i="13"/>
  <c r="G13" i="13"/>
  <c r="G12" i="13"/>
  <c r="G11" i="13"/>
  <c r="G10" i="13"/>
  <c r="I151" i="13"/>
  <c r="L151" i="13"/>
  <c r="I282" i="13"/>
  <c r="M282" i="13"/>
  <c r="I280" i="13"/>
  <c r="L280" i="13"/>
  <c r="I279" i="13"/>
  <c r="L279" i="13"/>
  <c r="I213" i="13"/>
  <c r="M213" i="13"/>
  <c r="I212" i="13"/>
  <c r="M212" i="13"/>
  <c r="I211" i="13"/>
  <c r="M211" i="13"/>
  <c r="I210" i="13"/>
  <c r="M210" i="13"/>
  <c r="I209" i="13"/>
  <c r="M209" i="13"/>
  <c r="I208" i="13"/>
  <c r="M208" i="13"/>
  <c r="I207" i="13"/>
  <c r="L207" i="13"/>
  <c r="I206" i="13"/>
  <c r="M206" i="13"/>
  <c r="I205" i="13"/>
  <c r="L205" i="13"/>
  <c r="I204" i="13"/>
  <c r="L204" i="13"/>
  <c r="I203" i="13"/>
  <c r="M203" i="13"/>
  <c r="I202" i="13"/>
  <c r="M202" i="13"/>
  <c r="I201" i="13"/>
  <c r="M201" i="13"/>
  <c r="I200" i="13"/>
  <c r="M200" i="13"/>
  <c r="I199" i="13"/>
  <c r="L199" i="13"/>
  <c r="I198" i="13"/>
  <c r="M198" i="13"/>
  <c r="I197" i="13"/>
  <c r="M197" i="13"/>
  <c r="I196" i="13"/>
  <c r="L196" i="13"/>
  <c r="I195" i="13"/>
  <c r="M195" i="13"/>
  <c r="I194" i="13"/>
  <c r="M194" i="13"/>
  <c r="I561" i="13"/>
  <c r="L561" i="13"/>
  <c r="I527" i="13"/>
  <c r="M527" i="13"/>
  <c r="I528" i="13"/>
  <c r="L528" i="13"/>
  <c r="I144" i="13"/>
  <c r="L144" i="13"/>
  <c r="I145" i="13"/>
  <c r="L145" i="13"/>
  <c r="I146" i="13"/>
  <c r="L146" i="13"/>
  <c r="I147" i="13"/>
  <c r="M147" i="13"/>
  <c r="I148" i="13"/>
  <c r="L148" i="13"/>
  <c r="I149" i="13"/>
  <c r="L149" i="13"/>
  <c r="A577" i="13"/>
  <c r="I575" i="13"/>
  <c r="L575" i="13"/>
  <c r="I574" i="13"/>
  <c r="L574" i="13"/>
  <c r="I573" i="13"/>
  <c r="M573" i="13"/>
  <c r="I572" i="13"/>
  <c r="M572" i="13"/>
  <c r="G79" i="13"/>
  <c r="I193" i="13"/>
  <c r="L193" i="13"/>
  <c r="I192" i="13"/>
  <c r="M192" i="13"/>
  <c r="I191" i="13"/>
  <c r="M191" i="13"/>
  <c r="I566" i="13"/>
  <c r="M566" i="13"/>
  <c r="I31" i="13"/>
  <c r="N106" i="13"/>
  <c r="N107" i="13"/>
  <c r="M490" i="13"/>
  <c r="I491" i="13"/>
  <c r="I492" i="13"/>
  <c r="I494" i="13"/>
  <c r="I493" i="13"/>
  <c r="M479" i="13"/>
  <c r="I480" i="13"/>
  <c r="I481" i="13"/>
  <c r="I483" i="13"/>
  <c r="I482" i="13"/>
  <c r="M467" i="13"/>
  <c r="I471" i="13"/>
  <c r="I468" i="13"/>
  <c r="I469" i="13"/>
  <c r="I470" i="13"/>
  <c r="M462" i="13"/>
  <c r="I465" i="13"/>
  <c r="I463" i="13"/>
  <c r="I464" i="13"/>
  <c r="I466" i="13"/>
  <c r="L457" i="13"/>
  <c r="I461" i="13"/>
  <c r="I460" i="13"/>
  <c r="I458" i="13"/>
  <c r="I459" i="13"/>
  <c r="L445" i="13"/>
  <c r="I448" i="13"/>
  <c r="I446" i="13"/>
  <c r="I447" i="13"/>
  <c r="I449" i="13"/>
  <c r="M433" i="13"/>
  <c r="I436" i="13"/>
  <c r="I434" i="13"/>
  <c r="I435" i="13"/>
  <c r="I437" i="13"/>
  <c r="M421" i="13"/>
  <c r="I422" i="13"/>
  <c r="I423" i="13"/>
  <c r="I425" i="13"/>
  <c r="I424" i="13"/>
  <c r="L410" i="13"/>
  <c r="I413" i="13"/>
  <c r="I411" i="13"/>
  <c r="I412" i="13"/>
  <c r="I414" i="13"/>
  <c r="M401" i="13"/>
  <c r="I404" i="13"/>
  <c r="I405" i="13"/>
  <c r="I402" i="13"/>
  <c r="I403" i="13"/>
  <c r="M388" i="13"/>
  <c r="I389" i="13"/>
  <c r="I390" i="13"/>
  <c r="I391" i="13"/>
  <c r="I392" i="13"/>
  <c r="L261" i="13"/>
  <c r="N261" i="13"/>
  <c r="M269" i="13"/>
  <c r="N269" i="13"/>
  <c r="M230" i="13"/>
  <c r="N230" i="13"/>
  <c r="L226" i="13"/>
  <c r="N226" i="13"/>
  <c r="L233" i="13"/>
  <c r="N233" i="13"/>
  <c r="M247" i="13"/>
  <c r="N247" i="13"/>
  <c r="M214" i="13"/>
  <c r="N214" i="13"/>
  <c r="M241" i="13"/>
  <c r="N241" i="13"/>
  <c r="M278" i="13"/>
  <c r="N278" i="13"/>
  <c r="M265" i="13"/>
  <c r="N265" i="13"/>
  <c r="M221" i="13"/>
  <c r="N221" i="13"/>
  <c r="M237" i="13"/>
  <c r="N237" i="13"/>
  <c r="L276" i="13"/>
  <c r="N276" i="13"/>
  <c r="L243" i="13"/>
  <c r="N243" i="13"/>
  <c r="M264" i="13"/>
  <c r="N264" i="13"/>
  <c r="M217" i="13"/>
  <c r="N217" i="13"/>
  <c r="M229" i="13"/>
  <c r="N229" i="13"/>
  <c r="M238" i="13"/>
  <c r="N238" i="13"/>
  <c r="M260" i="13"/>
  <c r="N260" i="13"/>
  <c r="L222" i="13"/>
  <c r="N222" i="13"/>
  <c r="L225" i="13"/>
  <c r="N225" i="13"/>
  <c r="L273" i="13"/>
  <c r="N273" i="13"/>
  <c r="L253" i="13"/>
  <c r="N253" i="13"/>
  <c r="M256" i="13"/>
  <c r="N256" i="13"/>
  <c r="M277" i="13"/>
  <c r="N277" i="13"/>
  <c r="L234" i="13"/>
  <c r="N234" i="13"/>
  <c r="M246" i="13"/>
  <c r="N246" i="13"/>
  <c r="M268" i="13"/>
  <c r="N268" i="13"/>
  <c r="L257" i="13"/>
  <c r="N257" i="13"/>
  <c r="L274" i="13"/>
  <c r="N274" i="13"/>
  <c r="L218" i="13"/>
  <c r="N218" i="13"/>
  <c r="M251" i="13"/>
  <c r="N251" i="13"/>
  <c r="L266" i="13"/>
  <c r="N266" i="13"/>
  <c r="M245" i="13"/>
  <c r="N245" i="13"/>
  <c r="M255" i="13"/>
  <c r="N255" i="13"/>
  <c r="M263" i="13"/>
  <c r="N263" i="13"/>
  <c r="M271" i="13"/>
  <c r="N271" i="13"/>
  <c r="M220" i="13"/>
  <c r="N220" i="13"/>
  <c r="M228" i="13"/>
  <c r="N228" i="13"/>
  <c r="M236" i="13"/>
  <c r="N236" i="13"/>
  <c r="L254" i="13"/>
  <c r="N254" i="13"/>
  <c r="L262" i="13"/>
  <c r="N262" i="13"/>
  <c r="L270" i="13"/>
  <c r="N270" i="13"/>
  <c r="L249" i="13"/>
  <c r="N249" i="13"/>
  <c r="L259" i="13"/>
  <c r="N259" i="13"/>
  <c r="L267" i="13"/>
  <c r="N267" i="13"/>
  <c r="M244" i="13"/>
  <c r="N244" i="13"/>
  <c r="L272" i="13"/>
  <c r="N272" i="13"/>
  <c r="L242" i="13"/>
  <c r="N242" i="13"/>
  <c r="L248" i="13"/>
  <c r="N248" i="13"/>
  <c r="L258" i="13"/>
  <c r="N258" i="13"/>
  <c r="L219" i="13"/>
  <c r="N219" i="13"/>
  <c r="L227" i="13"/>
  <c r="N227" i="13"/>
  <c r="L235" i="13"/>
  <c r="N235" i="13"/>
  <c r="L216" i="13"/>
  <c r="N216" i="13"/>
  <c r="L224" i="13"/>
  <c r="N224" i="13"/>
  <c r="L232" i="13"/>
  <c r="N232" i="13"/>
  <c r="L240" i="13"/>
  <c r="N240" i="13"/>
  <c r="L215" i="13"/>
  <c r="N215" i="13"/>
  <c r="L223" i="13"/>
  <c r="N223" i="13"/>
  <c r="L231" i="13"/>
  <c r="N231" i="13"/>
  <c r="L239" i="13"/>
  <c r="N239" i="13"/>
  <c r="M536" i="13"/>
  <c r="N536" i="13"/>
  <c r="L537" i="13"/>
  <c r="N537" i="13"/>
  <c r="L538" i="13"/>
  <c r="N538" i="13"/>
  <c r="L535" i="13"/>
  <c r="N535" i="13"/>
  <c r="L555" i="13"/>
  <c r="N555" i="13"/>
  <c r="L553" i="13"/>
  <c r="N553" i="13"/>
  <c r="L554" i="13"/>
  <c r="N554" i="13"/>
  <c r="L529" i="13"/>
  <c r="N529" i="13"/>
  <c r="L516" i="13"/>
  <c r="N516" i="13"/>
  <c r="L428" i="13"/>
  <c r="N428" i="13"/>
  <c r="M429" i="13"/>
  <c r="N429" i="13"/>
  <c r="L510" i="13"/>
  <c r="N510" i="13"/>
  <c r="L504" i="13"/>
  <c r="N504" i="13"/>
  <c r="M485" i="13"/>
  <c r="N485" i="13"/>
  <c r="M453" i="13"/>
  <c r="N453" i="13"/>
  <c r="L486" i="13"/>
  <c r="M486" i="13"/>
  <c r="L426" i="13"/>
  <c r="M426" i="13"/>
  <c r="L484" i="13"/>
  <c r="N484" i="13"/>
  <c r="L505" i="13"/>
  <c r="N505" i="13"/>
  <c r="M443" i="13"/>
  <c r="N443" i="13"/>
  <c r="L450" i="13"/>
  <c r="N450" i="13"/>
  <c r="L496" i="13"/>
  <c r="N496" i="13"/>
  <c r="L442" i="13"/>
  <c r="N442" i="13"/>
  <c r="L454" i="13"/>
  <c r="N454" i="13"/>
  <c r="L462" i="13"/>
  <c r="N462" i="13"/>
  <c r="L476" i="13"/>
  <c r="N476" i="13"/>
  <c r="L511" i="13"/>
  <c r="N511" i="13"/>
  <c r="L474" i="13"/>
  <c r="N474" i="13"/>
  <c r="M487" i="13"/>
  <c r="N487" i="13"/>
  <c r="L490" i="13"/>
  <c r="M497" i="13"/>
  <c r="N497" i="13"/>
  <c r="L500" i="13"/>
  <c r="N500" i="13"/>
  <c r="M457" i="13"/>
  <c r="M475" i="13"/>
  <c r="N475" i="13"/>
  <c r="L498" i="13"/>
  <c r="N498" i="13"/>
  <c r="L507" i="13"/>
  <c r="N507" i="13"/>
  <c r="M445" i="13"/>
  <c r="L452" i="13"/>
  <c r="N452" i="13"/>
  <c r="L488" i="13"/>
  <c r="N488" i="13"/>
  <c r="L503" i="13"/>
  <c r="N503" i="13"/>
  <c r="M439" i="13"/>
  <c r="N439" i="13"/>
  <c r="M455" i="13"/>
  <c r="N455" i="13"/>
  <c r="L472" i="13"/>
  <c r="N472" i="13"/>
  <c r="M477" i="13"/>
  <c r="N477" i="13"/>
  <c r="L509" i="13"/>
  <c r="N509" i="13"/>
  <c r="L408" i="13"/>
  <c r="N408" i="13"/>
  <c r="M473" i="13"/>
  <c r="N473" i="13"/>
  <c r="L508" i="13"/>
  <c r="N508" i="13"/>
  <c r="M398" i="13"/>
  <c r="N398" i="13"/>
  <c r="M416" i="13"/>
  <c r="N416" i="13"/>
  <c r="L502" i="13"/>
  <c r="N502" i="13"/>
  <c r="M407" i="13"/>
  <c r="N407" i="13"/>
  <c r="M410" i="13"/>
  <c r="M431" i="13"/>
  <c r="N431" i="13"/>
  <c r="L440" i="13"/>
  <c r="N440" i="13"/>
  <c r="L451" i="13"/>
  <c r="N451" i="13"/>
  <c r="L467" i="13"/>
  <c r="L479" i="13"/>
  <c r="L495" i="13"/>
  <c r="N495" i="13"/>
  <c r="M419" i="13"/>
  <c r="N419" i="13"/>
  <c r="L438" i="13"/>
  <c r="N438" i="13"/>
  <c r="M427" i="13"/>
  <c r="N427" i="13"/>
  <c r="L499" i="13"/>
  <c r="N499" i="13"/>
  <c r="M395" i="13"/>
  <c r="N395" i="13"/>
  <c r="L415" i="13"/>
  <c r="N415" i="13"/>
  <c r="L433" i="13"/>
  <c r="L430" i="13"/>
  <c r="N430" i="13"/>
  <c r="L421" i="13"/>
  <c r="L441" i="13"/>
  <c r="N441" i="13"/>
  <c r="L406" i="13"/>
  <c r="N406" i="13"/>
  <c r="L418" i="13"/>
  <c r="N418" i="13"/>
  <c r="L384" i="13"/>
  <c r="N384" i="13"/>
  <c r="L401" i="13"/>
  <c r="L417" i="13"/>
  <c r="N417" i="13"/>
  <c r="M394" i="13"/>
  <c r="N394" i="13"/>
  <c r="L400" i="13"/>
  <c r="N400" i="13"/>
  <c r="L387" i="13"/>
  <c r="N387" i="13"/>
  <c r="L386" i="13"/>
  <c r="N386" i="13"/>
  <c r="L399" i="13"/>
  <c r="N399" i="13"/>
  <c r="L388" i="13"/>
  <c r="L393" i="13"/>
  <c r="N393" i="13"/>
  <c r="L385" i="13"/>
  <c r="N385" i="13"/>
  <c r="L397" i="13"/>
  <c r="N397" i="13"/>
  <c r="M374" i="13"/>
  <c r="N374" i="13"/>
  <c r="M363" i="13"/>
  <c r="N363" i="13"/>
  <c r="L372" i="13"/>
  <c r="N372" i="13"/>
  <c r="L370" i="13"/>
  <c r="N370" i="13"/>
  <c r="M377" i="13"/>
  <c r="N377" i="13"/>
  <c r="L361" i="13"/>
  <c r="N361" i="13"/>
  <c r="L376" i="13"/>
  <c r="N376" i="13"/>
  <c r="L359" i="13"/>
  <c r="N359" i="13"/>
  <c r="L368" i="13"/>
  <c r="N368" i="13"/>
  <c r="M371" i="13"/>
  <c r="N371" i="13"/>
  <c r="L373" i="13"/>
  <c r="N373" i="13"/>
  <c r="M365" i="13"/>
  <c r="N365" i="13"/>
  <c r="M362" i="13"/>
  <c r="N362" i="13"/>
  <c r="L375" i="13"/>
  <c r="N375" i="13"/>
  <c r="M357" i="13"/>
  <c r="N357" i="13"/>
  <c r="M354" i="13"/>
  <c r="N354" i="13"/>
  <c r="L355" i="13"/>
  <c r="N355" i="13"/>
  <c r="L367" i="13"/>
  <c r="N367" i="13"/>
  <c r="M358" i="13"/>
  <c r="N358" i="13"/>
  <c r="L360" i="13"/>
  <c r="N360" i="13"/>
  <c r="L369" i="13"/>
  <c r="N369" i="13"/>
  <c r="L366" i="13"/>
  <c r="N366" i="13"/>
  <c r="L356" i="13"/>
  <c r="N356" i="13"/>
  <c r="M353" i="13"/>
  <c r="N353" i="13"/>
  <c r="L351" i="13"/>
  <c r="N351" i="13"/>
  <c r="L352" i="13"/>
  <c r="N352" i="13"/>
  <c r="M331" i="13"/>
  <c r="N331" i="13"/>
  <c r="M336" i="13"/>
  <c r="N336" i="13"/>
  <c r="L337" i="13"/>
  <c r="N337" i="13"/>
  <c r="M317" i="13"/>
  <c r="N317" i="13"/>
  <c r="M325" i="13"/>
  <c r="N325" i="13"/>
  <c r="M326" i="13"/>
  <c r="N326" i="13"/>
  <c r="L335" i="13"/>
  <c r="N335" i="13"/>
  <c r="M338" i="13"/>
  <c r="N338" i="13"/>
  <c r="L321" i="13"/>
  <c r="N321" i="13"/>
  <c r="L316" i="13"/>
  <c r="N316" i="13"/>
  <c r="L324" i="13"/>
  <c r="N324" i="13"/>
  <c r="M290" i="13"/>
  <c r="N290" i="13"/>
  <c r="M301" i="13"/>
  <c r="N301" i="13"/>
  <c r="M298" i="13"/>
  <c r="N298" i="13"/>
  <c r="M328" i="13"/>
  <c r="N328" i="13"/>
  <c r="L333" i="13"/>
  <c r="N333" i="13"/>
  <c r="M311" i="13"/>
  <c r="N311" i="13"/>
  <c r="M315" i="13"/>
  <c r="N315" i="13"/>
  <c r="L330" i="13"/>
  <c r="N330" i="13"/>
  <c r="L318" i="13"/>
  <c r="N318" i="13"/>
  <c r="L291" i="13"/>
  <c r="N291" i="13"/>
  <c r="L312" i="13"/>
  <c r="N312" i="13"/>
  <c r="L320" i="13"/>
  <c r="N320" i="13"/>
  <c r="L302" i="13"/>
  <c r="N302" i="13"/>
  <c r="L323" i="13"/>
  <c r="N323" i="13"/>
  <c r="L334" i="13"/>
  <c r="N334" i="13"/>
  <c r="M297" i="13"/>
  <c r="N297" i="13"/>
  <c r="L295" i="13"/>
  <c r="N295" i="13"/>
  <c r="L305" i="13"/>
  <c r="N305" i="13"/>
  <c r="L307" i="13"/>
  <c r="N307" i="13"/>
  <c r="L303" i="13"/>
  <c r="N303" i="13"/>
  <c r="L340" i="13"/>
  <c r="N340" i="13"/>
  <c r="L294" i="13"/>
  <c r="N294" i="13"/>
  <c r="M306" i="13"/>
  <c r="N306" i="13"/>
  <c r="L296" i="13"/>
  <c r="N296" i="13"/>
  <c r="L313" i="13"/>
  <c r="N313" i="13"/>
  <c r="L292" i="13"/>
  <c r="N292" i="13"/>
  <c r="L300" i="13"/>
  <c r="N300" i="13"/>
  <c r="L308" i="13"/>
  <c r="N308" i="13"/>
  <c r="L173" i="13"/>
  <c r="N173" i="13"/>
  <c r="M164" i="13"/>
  <c r="N164" i="13"/>
  <c r="L169" i="13"/>
  <c r="N169" i="13"/>
  <c r="M165" i="13"/>
  <c r="N165" i="13"/>
  <c r="M174" i="13"/>
  <c r="N174" i="13"/>
  <c r="L158" i="13"/>
  <c r="N158" i="13"/>
  <c r="L171" i="13"/>
  <c r="N171" i="13"/>
  <c r="L163" i="13"/>
  <c r="N163" i="13"/>
  <c r="M172" i="13"/>
  <c r="N172" i="13"/>
  <c r="L168" i="13"/>
  <c r="N168" i="13"/>
  <c r="L170" i="13"/>
  <c r="N170" i="13"/>
  <c r="M159" i="13"/>
  <c r="N159" i="13"/>
  <c r="L166" i="13"/>
  <c r="N166" i="13"/>
  <c r="L160" i="13"/>
  <c r="N160" i="13"/>
  <c r="L161" i="13"/>
  <c r="N161" i="13"/>
  <c r="M162" i="13"/>
  <c r="N162" i="13"/>
  <c r="M157" i="13"/>
  <c r="N157" i="13"/>
  <c r="L155" i="13"/>
  <c r="N155" i="13"/>
  <c r="M153" i="13"/>
  <c r="N153" i="13"/>
  <c r="M154" i="13"/>
  <c r="N154" i="13"/>
  <c r="M134" i="13"/>
  <c r="L134" i="13"/>
  <c r="M138" i="13"/>
  <c r="N138" i="13"/>
  <c r="M137" i="13"/>
  <c r="L137" i="13"/>
  <c r="L130" i="13"/>
  <c r="N130" i="13"/>
  <c r="L129" i="13"/>
  <c r="N129" i="13"/>
  <c r="L131" i="13"/>
  <c r="N131" i="13"/>
  <c r="M93" i="13"/>
  <c r="M114" i="13"/>
  <c r="L114" i="13"/>
  <c r="L113" i="13"/>
  <c r="M113" i="13"/>
  <c r="L112" i="13"/>
  <c r="M112" i="13"/>
  <c r="M111" i="13"/>
  <c r="N111" i="13"/>
  <c r="G57" i="13"/>
  <c r="M101" i="13"/>
  <c r="L101" i="13"/>
  <c r="M102" i="13"/>
  <c r="L102" i="13"/>
  <c r="M100" i="13"/>
  <c r="L100" i="13"/>
  <c r="M103" i="13"/>
  <c r="L103" i="13"/>
  <c r="L93" i="13"/>
  <c r="L120" i="13"/>
  <c r="M120" i="13"/>
  <c r="M96" i="13"/>
  <c r="L96" i="13"/>
  <c r="M95" i="13"/>
  <c r="L95" i="13"/>
  <c r="L94" i="13"/>
  <c r="M94" i="13"/>
  <c r="L92" i="13"/>
  <c r="N92" i="13"/>
  <c r="L74" i="13"/>
  <c r="I88" i="13"/>
  <c r="G73" i="13"/>
  <c r="I73" i="13"/>
  <c r="M73" i="13"/>
  <c r="I75" i="13"/>
  <c r="M74" i="13"/>
  <c r="M45" i="13"/>
  <c r="M33" i="13"/>
  <c r="M47" i="13"/>
  <c r="M72" i="13"/>
  <c r="L72" i="13"/>
  <c r="M71" i="13"/>
  <c r="L71" i="13"/>
  <c r="M68" i="13"/>
  <c r="L68" i="13"/>
  <c r="M48" i="13"/>
  <c r="L48" i="13"/>
  <c r="L47" i="13"/>
  <c r="G49" i="13"/>
  <c r="I49" i="13"/>
  <c r="L45" i="13"/>
  <c r="G35" i="13"/>
  <c r="I35" i="13"/>
  <c r="M35" i="13"/>
  <c r="L40" i="13"/>
  <c r="M40" i="13"/>
  <c r="L41" i="13"/>
  <c r="L38" i="13"/>
  <c r="M41" i="13"/>
  <c r="M38" i="13"/>
  <c r="G42" i="13"/>
  <c r="M34" i="13"/>
  <c r="M31" i="13"/>
  <c r="L34" i="13"/>
  <c r="L33" i="13"/>
  <c r="L31" i="13"/>
  <c r="M151" i="13"/>
  <c r="N151" i="13"/>
  <c r="M279" i="13"/>
  <c r="N279" i="13"/>
  <c r="M204" i="13"/>
  <c r="N204" i="13"/>
  <c r="L203" i="13"/>
  <c r="N203" i="13"/>
  <c r="M280" i="13"/>
  <c r="N280" i="13"/>
  <c r="L282" i="13"/>
  <c r="N282" i="13"/>
  <c r="M205" i="13"/>
  <c r="N205" i="13"/>
  <c r="L208" i="13"/>
  <c r="N208" i="13"/>
  <c r="L202" i="13"/>
  <c r="N202" i="13"/>
  <c r="L194" i="13"/>
  <c r="N194" i="13"/>
  <c r="M196" i="13"/>
  <c r="N196" i="13"/>
  <c r="L211" i="13"/>
  <c r="N211" i="13"/>
  <c r="L195" i="13"/>
  <c r="N195" i="13"/>
  <c r="L197" i="13"/>
  <c r="N197" i="13"/>
  <c r="L212" i="13"/>
  <c r="N212" i="13"/>
  <c r="M199" i="13"/>
  <c r="N199" i="13"/>
  <c r="M207" i="13"/>
  <c r="N207" i="13"/>
  <c r="L209" i="13"/>
  <c r="N209" i="13"/>
  <c r="L213" i="13"/>
  <c r="N213" i="13"/>
  <c r="L210" i="13"/>
  <c r="N210" i="13"/>
  <c r="L201" i="13"/>
  <c r="N201" i="13"/>
  <c r="L198" i="13"/>
  <c r="N198" i="13"/>
  <c r="L206" i="13"/>
  <c r="N206" i="13"/>
  <c r="L200" i="13"/>
  <c r="N200" i="13"/>
  <c r="M561" i="13"/>
  <c r="N561" i="13"/>
  <c r="O563" i="13"/>
  <c r="M528" i="13"/>
  <c r="N528" i="13"/>
  <c r="L527" i="13"/>
  <c r="N527" i="13"/>
  <c r="M144" i="13"/>
  <c r="N144" i="13"/>
  <c r="M145" i="13"/>
  <c r="N145" i="13"/>
  <c r="M146" i="13"/>
  <c r="N146" i="13"/>
  <c r="L147" i="13"/>
  <c r="N147" i="13"/>
  <c r="M148" i="13"/>
  <c r="N148" i="13"/>
  <c r="M149" i="13"/>
  <c r="N149" i="13"/>
  <c r="M85" i="13"/>
  <c r="L572" i="13"/>
  <c r="N572" i="13"/>
  <c r="M89" i="13"/>
  <c r="L573" i="13"/>
  <c r="N573" i="13"/>
  <c r="M574" i="13"/>
  <c r="N574" i="13"/>
  <c r="M87" i="13"/>
  <c r="M575" i="13"/>
  <c r="N575" i="13"/>
  <c r="M86" i="13"/>
  <c r="L86" i="13"/>
  <c r="L85" i="13"/>
  <c r="L89" i="13"/>
  <c r="L87" i="13"/>
  <c r="M126" i="13"/>
  <c r="L124" i="13"/>
  <c r="L126" i="13"/>
  <c r="M124" i="13"/>
  <c r="I62" i="13"/>
  <c r="M62" i="13"/>
  <c r="L191" i="13"/>
  <c r="N191" i="13"/>
  <c r="M193" i="13"/>
  <c r="N193" i="13"/>
  <c r="L192" i="13"/>
  <c r="N192" i="13"/>
  <c r="L566" i="13"/>
  <c r="N566" i="13"/>
  <c r="O568" i="13"/>
  <c r="I515" i="13"/>
  <c r="M515" i="13"/>
  <c r="I514" i="13"/>
  <c r="M514" i="13"/>
  <c r="I513" i="13"/>
  <c r="M513" i="13"/>
  <c r="I350" i="13"/>
  <c r="M350" i="13"/>
  <c r="I349" i="13"/>
  <c r="L349" i="13"/>
  <c r="I185" i="13"/>
  <c r="L185" i="13"/>
  <c r="I556" i="13"/>
  <c r="M556" i="13"/>
  <c r="I552" i="13"/>
  <c r="M552" i="13"/>
  <c r="I551" i="13"/>
  <c r="L551" i="13"/>
  <c r="I550" i="13"/>
  <c r="L550" i="13"/>
  <c r="I544" i="13"/>
  <c r="L544" i="13"/>
  <c r="I526" i="13"/>
  <c r="M526" i="13"/>
  <c r="I523" i="13"/>
  <c r="M523" i="13"/>
  <c r="I522" i="13"/>
  <c r="L522" i="13"/>
  <c r="I348" i="13"/>
  <c r="M348" i="13"/>
  <c r="I347" i="13"/>
  <c r="M347" i="13"/>
  <c r="I346" i="13"/>
  <c r="L346" i="13"/>
  <c r="I289" i="13"/>
  <c r="I189" i="13"/>
  <c r="I188" i="13"/>
  <c r="I187" i="13"/>
  <c r="I186" i="13"/>
  <c r="I182" i="13"/>
  <c r="I180" i="13"/>
  <c r="I64" i="13"/>
  <c r="I63" i="13"/>
  <c r="I61" i="13"/>
  <c r="I25" i="13"/>
  <c r="I27" i="13"/>
  <c r="I26" i="13"/>
  <c r="I24" i="13"/>
  <c r="O176" i="13"/>
  <c r="N479" i="13"/>
  <c r="O540" i="13"/>
  <c r="N490" i="13"/>
  <c r="O577" i="13"/>
  <c r="N467" i="13"/>
  <c r="N457" i="13"/>
  <c r="N433" i="13"/>
  <c r="N445" i="13"/>
  <c r="N421" i="13"/>
  <c r="N401" i="13"/>
  <c r="N388" i="13"/>
  <c r="N410" i="13"/>
  <c r="N426" i="13"/>
  <c r="N486" i="13"/>
  <c r="N114" i="13"/>
  <c r="N134" i="13"/>
  <c r="N93" i="13"/>
  <c r="N137" i="13"/>
  <c r="N101" i="13"/>
  <c r="N113" i="13"/>
  <c r="N100" i="13"/>
  <c r="N112" i="13"/>
  <c r="N96" i="13"/>
  <c r="N102" i="13"/>
  <c r="N103" i="13"/>
  <c r="N120" i="13"/>
  <c r="N74" i="13"/>
  <c r="N94" i="13"/>
  <c r="N95" i="13"/>
  <c r="N48" i="13"/>
  <c r="N45" i="13"/>
  <c r="N33" i="13"/>
  <c r="L88" i="13"/>
  <c r="M88" i="13"/>
  <c r="N47" i="13"/>
  <c r="N72" i="13"/>
  <c r="L75" i="13"/>
  <c r="M75" i="13"/>
  <c r="N71" i="13"/>
  <c r="L35" i="13"/>
  <c r="N35" i="13"/>
  <c r="N34" i="13"/>
  <c r="N68" i="13"/>
  <c r="M70" i="13"/>
  <c r="M69" i="13"/>
  <c r="L73" i="13"/>
  <c r="N73" i="13"/>
  <c r="M49" i="13"/>
  <c r="L49" i="13"/>
  <c r="N31" i="13"/>
  <c r="N40" i="13"/>
  <c r="L32" i="13"/>
  <c r="N38" i="13"/>
  <c r="N41" i="13"/>
  <c r="I42" i="13"/>
  <c r="N85" i="13"/>
  <c r="N89" i="13"/>
  <c r="N87" i="13"/>
  <c r="N86" i="13"/>
  <c r="N126" i="13"/>
  <c r="L125" i="13"/>
  <c r="M125" i="13"/>
  <c r="N124" i="13"/>
  <c r="L62" i="13"/>
  <c r="N62" i="13"/>
  <c r="L514" i="13"/>
  <c r="N514" i="13"/>
  <c r="L515" i="13"/>
  <c r="N515" i="13"/>
  <c r="L513" i="13"/>
  <c r="N513" i="13"/>
  <c r="L350" i="13"/>
  <c r="N350" i="13"/>
  <c r="M349" i="13"/>
  <c r="N349" i="13"/>
  <c r="M185" i="13"/>
  <c r="N185" i="13"/>
  <c r="L556" i="13"/>
  <c r="N556" i="13"/>
  <c r="M551" i="13"/>
  <c r="N551" i="13"/>
  <c r="M550" i="13"/>
  <c r="N550" i="13"/>
  <c r="L552" i="13"/>
  <c r="N552" i="13"/>
  <c r="M522" i="13"/>
  <c r="N522" i="13"/>
  <c r="M544" i="13"/>
  <c r="N544" i="13"/>
  <c r="O546" i="13"/>
  <c r="L523" i="13"/>
  <c r="N523" i="13"/>
  <c r="L526" i="13"/>
  <c r="N526" i="13"/>
  <c r="L348" i="13"/>
  <c r="N348" i="13"/>
  <c r="M346" i="13"/>
  <c r="N346" i="13"/>
  <c r="L347" i="13"/>
  <c r="N347" i="13"/>
  <c r="M64" i="13"/>
  <c r="L63" i="13"/>
  <c r="L27" i="13"/>
  <c r="L25" i="13"/>
  <c r="L24" i="13"/>
  <c r="M61" i="13"/>
  <c r="M180" i="13"/>
  <c r="L26" i="13"/>
  <c r="L189" i="13"/>
  <c r="L64" i="13"/>
  <c r="L187" i="13"/>
  <c r="M189" i="13"/>
  <c r="M24" i="13"/>
  <c r="M26" i="13"/>
  <c r="M187" i="13"/>
  <c r="L188" i="13"/>
  <c r="M27" i="13"/>
  <c r="M63" i="13"/>
  <c r="L186" i="13"/>
  <c r="M188" i="13"/>
  <c r="M186" i="13"/>
  <c r="I190" i="13"/>
  <c r="M182" i="13"/>
  <c r="L182" i="13"/>
  <c r="L289" i="13"/>
  <c r="M289" i="13"/>
  <c r="L180" i="13"/>
  <c r="I60" i="13"/>
  <c r="L60" i="13"/>
  <c r="G65" i="13"/>
  <c r="L61" i="13"/>
  <c r="G28" i="13"/>
  <c r="O531" i="13"/>
  <c r="O518" i="13"/>
  <c r="O558" i="13"/>
  <c r="N88" i="13"/>
  <c r="N75" i="13"/>
  <c r="N49" i="13"/>
  <c r="L39" i="13"/>
  <c r="L46" i="13"/>
  <c r="L42" i="13"/>
  <c r="M42" i="13"/>
  <c r="M25" i="13"/>
  <c r="N25" i="13"/>
  <c r="N125" i="13"/>
  <c r="O379" i="13"/>
  <c r="N61" i="13"/>
  <c r="N27" i="13"/>
  <c r="N63" i="13"/>
  <c r="N180" i="13"/>
  <c r="N187" i="13"/>
  <c r="N26" i="13"/>
  <c r="N64" i="13"/>
  <c r="N182" i="13"/>
  <c r="N189" i="13"/>
  <c r="N24" i="13"/>
  <c r="N186" i="13"/>
  <c r="N188" i="13"/>
  <c r="L190" i="13"/>
  <c r="M190" i="13"/>
  <c r="M60" i="13"/>
  <c r="N60" i="13"/>
  <c r="I181" i="13"/>
  <c r="I183" i="13"/>
  <c r="N289" i="13"/>
  <c r="O342" i="13"/>
  <c r="I65" i="13"/>
  <c r="I28" i="13"/>
  <c r="G21" i="13"/>
  <c r="N42" i="13"/>
  <c r="M32" i="13"/>
  <c r="N32" i="13"/>
  <c r="N190" i="13"/>
  <c r="M28" i="13"/>
  <c r="L28" i="13"/>
  <c r="M183" i="13"/>
  <c r="L183" i="13"/>
  <c r="L65" i="13"/>
  <c r="M65" i="13"/>
  <c r="M181" i="13"/>
  <c r="L181" i="13"/>
  <c r="M39" i="13"/>
  <c r="N39" i="13"/>
  <c r="M46" i="13"/>
  <c r="N46" i="13"/>
  <c r="N183" i="13"/>
  <c r="N28" i="13"/>
  <c r="N181" i="13"/>
  <c r="N65" i="13"/>
  <c r="I82" i="13"/>
  <c r="M82" i="13"/>
  <c r="I81" i="13"/>
  <c r="M81" i="13"/>
  <c r="I79" i="13"/>
  <c r="M79" i="13"/>
  <c r="I80" i="13"/>
  <c r="M80" i="13"/>
  <c r="I56" i="13"/>
  <c r="M56" i="13"/>
  <c r="I55" i="13"/>
  <c r="M55" i="13"/>
  <c r="I53" i="13"/>
  <c r="M53" i="13"/>
  <c r="I54" i="13"/>
  <c r="O284" i="13"/>
  <c r="L81" i="13"/>
  <c r="N81" i="13"/>
  <c r="L53" i="13"/>
  <c r="N53" i="13"/>
  <c r="L55" i="13"/>
  <c r="N55" i="13"/>
  <c r="L56" i="13"/>
  <c r="N56" i="13"/>
  <c r="L79" i="13"/>
  <c r="N79" i="13"/>
  <c r="L80" i="13"/>
  <c r="N80" i="13"/>
  <c r="L82" i="13"/>
  <c r="N82" i="13"/>
  <c r="M54" i="13"/>
  <c r="L54" i="13"/>
  <c r="I57" i="13"/>
  <c r="M57" i="13"/>
  <c r="L57" i="13"/>
  <c r="N57" i="13"/>
  <c r="N54" i="13"/>
  <c r="A579" i="13"/>
  <c r="A578" i="13"/>
  <c r="I121" i="13"/>
  <c r="I119" i="13"/>
  <c r="I118" i="13"/>
  <c r="I18" i="13"/>
  <c r="I17" i="13"/>
  <c r="A9" i="13"/>
  <c r="A8" i="13"/>
  <c r="A7" i="13"/>
  <c r="M17" i="13"/>
  <c r="L17" i="13"/>
  <c r="L70" i="13"/>
  <c r="N70" i="13"/>
  <c r="L69" i="13"/>
  <c r="N69" i="13"/>
  <c r="M118" i="13"/>
  <c r="L118" i="13"/>
  <c r="N17" i="13"/>
  <c r="M119" i="13"/>
  <c r="L119" i="13"/>
  <c r="L18" i="13"/>
  <c r="M18" i="13"/>
  <c r="M121" i="13"/>
  <c r="L121" i="13"/>
  <c r="I21" i="13"/>
  <c r="M21" i="13"/>
  <c r="I12" i="13"/>
  <c r="I13" i="13"/>
  <c r="I11" i="13"/>
  <c r="A10" i="13"/>
  <c r="I10" i="13"/>
  <c r="G14" i="13"/>
  <c r="I19" i="13"/>
  <c r="M19" i="13"/>
  <c r="I20" i="13"/>
  <c r="M20" i="13"/>
  <c r="A11" i="13"/>
  <c r="A12" i="13"/>
  <c r="N119" i="13"/>
  <c r="L20" i="13"/>
  <c r="N20" i="13"/>
  <c r="N121" i="13"/>
  <c r="M10" i="13"/>
  <c r="L10" i="13"/>
  <c r="N18" i="13"/>
  <c r="M11" i="13"/>
  <c r="L11" i="13"/>
  <c r="M13" i="13"/>
  <c r="L13" i="13"/>
  <c r="L12" i="13"/>
  <c r="M12" i="13"/>
  <c r="L19" i="13"/>
  <c r="N19" i="13"/>
  <c r="N118" i="13"/>
  <c r="L21" i="13"/>
  <c r="N21" i="13"/>
  <c r="I14" i="13"/>
  <c r="A13" i="13"/>
  <c r="A14" i="13"/>
  <c r="N11" i="13"/>
  <c r="N13" i="13"/>
  <c r="N12" i="13"/>
  <c r="N10" i="13"/>
  <c r="L14" i="13"/>
  <c r="M14" i="13"/>
  <c r="A17" i="13"/>
  <c r="A18" i="13"/>
  <c r="N14" i="13"/>
  <c r="N580" i="13"/>
  <c r="A19" i="13"/>
  <c r="A20" i="13"/>
  <c r="A21" i="13"/>
  <c r="A24" i="13"/>
  <c r="O140" i="13"/>
  <c r="O580" i="13"/>
  <c r="N581" i="13"/>
  <c r="N582" i="13"/>
  <c r="C5" i="13"/>
  <c r="A25" i="13"/>
  <c r="A26" i="13"/>
  <c r="A27" i="13"/>
  <c r="A28" i="13"/>
  <c r="A31" i="13"/>
  <c r="A32" i="13"/>
  <c r="A33" i="13"/>
  <c r="A34" i="13"/>
  <c r="A35" i="13"/>
  <c r="A38" i="13"/>
  <c r="A39" i="13"/>
  <c r="A40" i="13"/>
  <c r="A41" i="13"/>
  <c r="A42" i="13"/>
  <c r="A45" i="13"/>
  <c r="A46" i="13"/>
  <c r="A47" i="13"/>
  <c r="A48" i="13"/>
  <c r="A49" i="13"/>
  <c r="A53" i="13"/>
  <c r="A54" i="13"/>
  <c r="A55" i="13"/>
  <c r="A56" i="13"/>
  <c r="A57" i="13"/>
  <c r="A60" i="13"/>
  <c r="A61" i="13"/>
  <c r="A62" i="13"/>
  <c r="A63" i="13"/>
  <c r="A64" i="13"/>
  <c r="A65" i="13"/>
  <c r="A68" i="13"/>
  <c r="A69" i="13"/>
  <c r="A70" i="13"/>
  <c r="A71" i="13"/>
  <c r="A72" i="13"/>
  <c r="A73" i="13"/>
  <c r="A74" i="13"/>
  <c r="A75" i="13"/>
  <c r="A79" i="13"/>
  <c r="A80" i="13"/>
  <c r="A81" i="13"/>
  <c r="A82" i="13"/>
  <c r="A85" i="13"/>
  <c r="A86" i="13"/>
  <c r="A87" i="13"/>
  <c r="A88" i="13"/>
  <c r="A89" i="13"/>
  <c r="A92" i="13"/>
  <c r="A93" i="13"/>
  <c r="A94" i="13"/>
  <c r="A95" i="13"/>
  <c r="A96" i="13"/>
  <c r="A100" i="13"/>
  <c r="A101" i="13"/>
  <c r="A102" i="13"/>
  <c r="A103" i="13"/>
  <c r="A106" i="13"/>
  <c r="A107" i="13"/>
  <c r="A111" i="13"/>
  <c r="A112" i="13"/>
  <c r="A113" i="13"/>
  <c r="A114" i="13"/>
  <c r="A118" i="13"/>
  <c r="A119" i="13"/>
  <c r="A120" i="13"/>
  <c r="A121" i="13"/>
  <c r="A124" i="13"/>
  <c r="A125" i="13"/>
  <c r="A126" i="13"/>
  <c r="A129" i="13"/>
  <c r="A130" i="13"/>
  <c r="A131" i="13"/>
  <c r="A134" i="13"/>
  <c r="A137" i="13"/>
  <c r="A138" i="13"/>
  <c r="A144" i="13"/>
  <c r="A145" i="13"/>
  <c r="A146" i="13"/>
  <c r="A147" i="13"/>
  <c r="A148" i="13"/>
  <c r="A149" i="13"/>
  <c r="A151" i="13"/>
  <c r="A153" i="13"/>
  <c r="A154" i="13"/>
  <c r="A155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80" i="13"/>
  <c r="A181" i="13"/>
  <c r="A182" i="13"/>
  <c r="A183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1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6" i="13"/>
  <c r="A277" i="13"/>
  <c r="A278" i="13"/>
  <c r="A279" i="13"/>
  <c r="A280" i="13"/>
  <c r="A282" i="13"/>
  <c r="A289" i="13"/>
  <c r="A290" i="13"/>
  <c r="A291" i="13"/>
  <c r="A292" i="13"/>
  <c r="A294" i="13"/>
  <c r="A295" i="13"/>
  <c r="A296" i="13"/>
  <c r="A297" i="13"/>
  <c r="A298" i="13"/>
  <c r="A300" i="13"/>
  <c r="A301" i="13"/>
  <c r="A302" i="13"/>
  <c r="A303" i="13"/>
  <c r="A305" i="13"/>
  <c r="A306" i="13"/>
  <c r="A307" i="13"/>
  <c r="A308" i="13"/>
  <c r="A311" i="13"/>
  <c r="A312" i="13"/>
  <c r="A313" i="13"/>
  <c r="A315" i="13"/>
  <c r="A316" i="13"/>
  <c r="A317" i="13"/>
  <c r="A318" i="13"/>
  <c r="A320" i="13"/>
  <c r="A321" i="13"/>
  <c r="A323" i="13"/>
  <c r="A324" i="13"/>
  <c r="A325" i="13"/>
  <c r="A326" i="13"/>
  <c r="A328" i="13"/>
  <c r="A330" i="13"/>
  <c r="A331" i="13"/>
  <c r="A333" i="13"/>
  <c r="A334" i="13"/>
  <c r="A335" i="13"/>
  <c r="A336" i="13"/>
  <c r="A337" i="13"/>
  <c r="A338" i="13"/>
  <c r="A340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83" i="13"/>
  <c r="A384" i="13"/>
  <c r="A385" i="13"/>
  <c r="A386" i="13"/>
  <c r="A387" i="13"/>
  <c r="A388" i="13"/>
  <c r="A393" i="13"/>
  <c r="A394" i="13"/>
  <c r="A395" i="13"/>
  <c r="A396" i="13"/>
  <c r="A397" i="13"/>
  <c r="A398" i="13"/>
  <c r="A399" i="13"/>
  <c r="A400" i="13"/>
  <c r="A401" i="13"/>
  <c r="A406" i="13"/>
  <c r="A407" i="13"/>
  <c r="A408" i="13"/>
  <c r="A409" i="13"/>
  <c r="A410" i="13"/>
  <c r="A415" i="13"/>
  <c r="A416" i="13"/>
  <c r="A417" i="13"/>
  <c r="A418" i="13"/>
  <c r="A419" i="13"/>
  <c r="A420" i="13"/>
  <c r="A421" i="13"/>
  <c r="A426" i="13"/>
  <c r="A427" i="13"/>
  <c r="A428" i="13"/>
  <c r="A429" i="13"/>
  <c r="A430" i="13"/>
  <c r="A431" i="13"/>
  <c r="A432" i="13"/>
  <c r="A433" i="13"/>
  <c r="A438" i="13"/>
  <c r="A439" i="13"/>
  <c r="A440" i="13"/>
  <c r="A441" i="13"/>
  <c r="A442" i="13"/>
  <c r="A443" i="13"/>
  <c r="A444" i="13"/>
  <c r="A445" i="13"/>
  <c r="A450" i="13"/>
  <c r="A451" i="13"/>
  <c r="A452" i="13"/>
  <c r="A453" i="13"/>
  <c r="A454" i="13"/>
  <c r="A455" i="13"/>
  <c r="A456" i="13"/>
  <c r="A457" i="13"/>
  <c r="A462" i="13"/>
  <c r="A467" i="13"/>
  <c r="A472" i="13"/>
  <c r="A473" i="13"/>
  <c r="A474" i="13"/>
  <c r="A475" i="13"/>
  <c r="A476" i="13"/>
  <c r="A477" i="13"/>
  <c r="A478" i="13"/>
  <c r="A479" i="13"/>
  <c r="A484" i="13"/>
  <c r="A485" i="13"/>
  <c r="A486" i="13"/>
  <c r="A487" i="13"/>
  <c r="A488" i="13"/>
  <c r="A489" i="13"/>
  <c r="A490" i="13"/>
  <c r="A495" i="13"/>
  <c r="A496" i="13"/>
  <c r="A497" i="13"/>
  <c r="A498" i="13"/>
  <c r="A499" i="13"/>
  <c r="A500" i="13"/>
  <c r="A502" i="13"/>
  <c r="A503" i="13"/>
  <c r="A504" i="13"/>
  <c r="A505" i="13"/>
  <c r="A507" i="13"/>
  <c r="A508" i="13"/>
  <c r="A509" i="13"/>
  <c r="A510" i="13"/>
  <c r="A511" i="13"/>
  <c r="A513" i="13"/>
  <c r="A514" i="13"/>
  <c r="A515" i="13"/>
  <c r="A516" i="13"/>
  <c r="A522" i="13"/>
  <c r="A523" i="13"/>
  <c r="A526" i="13"/>
  <c r="A527" i="13"/>
  <c r="A528" i="13"/>
  <c r="A529" i="13"/>
  <c r="A535" i="13"/>
  <c r="A536" i="13"/>
  <c r="A537" i="13"/>
  <c r="A538" i="13"/>
  <c r="A544" i="13"/>
  <c r="A550" i="13"/>
  <c r="A551" i="13"/>
  <c r="A552" i="13"/>
  <c r="A553" i="13"/>
  <c r="A554" i="13"/>
  <c r="A555" i="13"/>
  <c r="A556" i="13"/>
  <c r="A561" i="13"/>
  <c r="A566" i="13"/>
  <c r="A572" i="13"/>
  <c r="A573" i="13"/>
  <c r="A574" i="13"/>
  <c r="A575" i="13"/>
</calcChain>
</file>

<file path=xl/sharedStrings.xml><?xml version="1.0" encoding="utf-8"?>
<sst xmlns="http://schemas.openxmlformats.org/spreadsheetml/2006/main" count="1339" uniqueCount="447">
  <si>
    <t>UNIT</t>
  </si>
  <si>
    <t>DESCRIPTION</t>
  </si>
  <si>
    <t>TOTAL BASE BID</t>
  </si>
  <si>
    <t>WASTE</t>
  </si>
  <si>
    <t>QTY. W/ WASTE</t>
  </si>
  <si>
    <t>TOTAL COST</t>
  </si>
  <si>
    <t>SR #</t>
  </si>
  <si>
    <t>SUB TOTALS</t>
  </si>
  <si>
    <t>SUB - TOTAL</t>
  </si>
  <si>
    <t>Sheet
No.</t>
  </si>
  <si>
    <t>Detail
No.</t>
  </si>
  <si>
    <t>CSI
No.</t>
  </si>
  <si>
    <t>SF</t>
  </si>
  <si>
    <t>CY</t>
  </si>
  <si>
    <t>QTY.</t>
  </si>
  <si>
    <t>Formwork</t>
  </si>
  <si>
    <t>SFCA</t>
  </si>
  <si>
    <t>Backfill</t>
  </si>
  <si>
    <t xml:space="preserve">Excavation </t>
  </si>
  <si>
    <t>PROJECT</t>
  </si>
  <si>
    <t>ADDRESS</t>
  </si>
  <si>
    <t>Date of submission</t>
  </si>
  <si>
    <t>Date of plans</t>
  </si>
  <si>
    <t>03 00 00</t>
  </si>
  <si>
    <t>CONCRETE</t>
  </si>
  <si>
    <t>Concrete</t>
  </si>
  <si>
    <t>SLAB ON GRADE</t>
  </si>
  <si>
    <t>6" Gravel Base</t>
  </si>
  <si>
    <t>OVERHEAD &amp; PROFIT</t>
  </si>
  <si>
    <t>CONCRETE SLAB</t>
  </si>
  <si>
    <t>GRAND TOTAL</t>
  </si>
  <si>
    <t>EA</t>
  </si>
  <si>
    <t>LBS</t>
  </si>
  <si>
    <t>STRIP FOOTING</t>
  </si>
  <si>
    <t>UNIT MAT</t>
  </si>
  <si>
    <t>UNIT LABOR</t>
  </si>
  <si>
    <t>TOTAL MAT</t>
  </si>
  <si>
    <t>TOTAL LAB</t>
  </si>
  <si>
    <t>Sub Total</t>
  </si>
  <si>
    <t>05 00 00</t>
  </si>
  <si>
    <t>METALS</t>
  </si>
  <si>
    <t>06 00 00</t>
  </si>
  <si>
    <t>WOODS, PLASTICS AND COMPOSITES</t>
  </si>
  <si>
    <t>07 00 00</t>
  </si>
  <si>
    <t>THERMAL AND MOISTURE PROTECTION</t>
  </si>
  <si>
    <t>ROOFING</t>
  </si>
  <si>
    <t>08 00 00</t>
  </si>
  <si>
    <t>OPENING</t>
  </si>
  <si>
    <t>DOORS</t>
  </si>
  <si>
    <t>09 00 00</t>
  </si>
  <si>
    <t>FINISHES</t>
  </si>
  <si>
    <t>GYPSUM BOARD ASSEMBLIES</t>
  </si>
  <si>
    <t>Tile flooring.</t>
  </si>
  <si>
    <t xml:space="preserve">4'x8' GB Sheet </t>
  </si>
  <si>
    <t>500' Tape Roll</t>
  </si>
  <si>
    <t>Joint Compound</t>
  </si>
  <si>
    <t>1-1/4" Drywall Screws</t>
  </si>
  <si>
    <t>Sheets</t>
  </si>
  <si>
    <t>Rolls</t>
  </si>
  <si>
    <t>Gallons</t>
  </si>
  <si>
    <t>Pounds</t>
  </si>
  <si>
    <t>CEILING</t>
  </si>
  <si>
    <t>FLOORING</t>
  </si>
  <si>
    <t>PAINTING</t>
  </si>
  <si>
    <t>Paint GWB ceiling.</t>
  </si>
  <si>
    <t>Paint GWB walls.</t>
  </si>
  <si>
    <t>Paint door and frame.</t>
  </si>
  <si>
    <t>10 00 00</t>
  </si>
  <si>
    <t>SPECIALITIES</t>
  </si>
  <si>
    <t>COUNTERTOP</t>
  </si>
  <si>
    <t>Countertop.</t>
  </si>
  <si>
    <t>Backsplash.</t>
  </si>
  <si>
    <t>BATHROOM ACCESSORIES</t>
  </si>
  <si>
    <t>Tissue holder.</t>
  </si>
  <si>
    <t>Toilet paper dispenser.</t>
  </si>
  <si>
    <t>22 00 00</t>
  </si>
  <si>
    <t>PLUMBING</t>
  </si>
  <si>
    <t>FIXTURES</t>
  </si>
  <si>
    <t>Lavatory.</t>
  </si>
  <si>
    <t>Water closet.</t>
  </si>
  <si>
    <t>Allowance for Plumbing piping.</t>
  </si>
  <si>
    <t>LS</t>
  </si>
  <si>
    <t>23 00 00</t>
  </si>
  <si>
    <t>26 00 00</t>
  </si>
  <si>
    <t>ELECTRICAL</t>
  </si>
  <si>
    <t>S1.01</t>
  </si>
  <si>
    <t>3#4 bars cont.</t>
  </si>
  <si>
    <t>FOUNDATION WALL</t>
  </si>
  <si>
    <t>ELEVATOR PIT SLAB</t>
  </si>
  <si>
    <t>EXTERIOR IMPROVEMENTS</t>
  </si>
  <si>
    <t>Trench drain.</t>
  </si>
  <si>
    <t>FT</t>
  </si>
  <si>
    <t>WINDOW/ STOREFRONT/ GLAZING</t>
  </si>
  <si>
    <t>Elevator.</t>
  </si>
  <si>
    <t>14 00 00</t>
  </si>
  <si>
    <t>CONVEYING EQUIPMENTS</t>
  </si>
  <si>
    <t>ELEVATOR</t>
  </si>
  <si>
    <t>Urinal.</t>
  </si>
  <si>
    <t>HEATING, VENTILATION AND AOR CONDITIONING</t>
  </si>
  <si>
    <t>Allowance for HVAC.</t>
  </si>
  <si>
    <t>Allowance for lighting/power/conduit/wiring.</t>
  </si>
  <si>
    <t>STRUCTURAL STEEL</t>
  </si>
  <si>
    <t>PAD FOOTINGS</t>
  </si>
  <si>
    <t>Mark: PF60
Length: 6'-0"
Width: 6'-0"
Depth: 1'-3" 
Count:  1 EA</t>
  </si>
  <si>
    <t>7#6 each way</t>
  </si>
  <si>
    <t>Mark: PF70
Length: 7'-0"
Width: 7'-0"
Depth: 1'-6" 
Count:  7 EA</t>
  </si>
  <si>
    <t>8#6 each way</t>
  </si>
  <si>
    <t>Mark: PF80
Length: 8'-0"
Width: 8'-0"
Depth: 1'-6" 
Count:  6 EA</t>
  </si>
  <si>
    <t>9#6 each way</t>
  </si>
  <si>
    <t>Mark: PF90
Length: 9'-0"
Width: 9'-0"
Depth: 1'-6" 
Count:  4 EA</t>
  </si>
  <si>
    <t>11#6 each way</t>
  </si>
  <si>
    <t>Mark: PF100
Length: 10'-0"
Width: 10'-0"
Depth: 1'-9" 
Count:  3 EA</t>
  </si>
  <si>
    <t>11#7 each way</t>
  </si>
  <si>
    <t>Mark: PF110
Length: 11'-0"
Width: 11'-0"
Depth: 2'-0" 
Count:  1 EA</t>
  </si>
  <si>
    <t>12#7 each way</t>
  </si>
  <si>
    <t>Mark: CF24
Length: 427'-0"
Width: 2'-0"
Depth: 1'-0"</t>
  </si>
  <si>
    <t>Mark: CF30
Length: 21'-0"
Width: 2'-6"
Depth: 1'-9"</t>
  </si>
  <si>
    <t>4#5 cont. top and bottom.</t>
  </si>
  <si>
    <t>#4 hoops @ 18" oc.</t>
  </si>
  <si>
    <t>Mark: Retaining wall footing
Length: 274'-0"
Width: 5'-0"
Depth: 1'-3"</t>
  </si>
  <si>
    <t>10/S5.01</t>
  </si>
  <si>
    <t>5#5 cont. top and bottom.</t>
  </si>
  <si>
    <t>#5 transverse @ 15" oc.</t>
  </si>
  <si>
    <t>4" dia perforated drain pipe covered w/drain rock and wrapped in filter fabric.</t>
  </si>
  <si>
    <t>1 1/2" minus clean drain rock.</t>
  </si>
  <si>
    <t>Mark: 8" Retaining wall at exterior footing
Length: 274'-0"
Width: 0'-8"
Depth: 9'-0"</t>
  </si>
  <si>
    <t>#5 at 15" oc horizontal and vertical</t>
  </si>
  <si>
    <t xml:space="preserve">#6 dowel at 15" oc </t>
  </si>
  <si>
    <t xml:space="preserve">#5 dowel at 15" oc </t>
  </si>
  <si>
    <t>Mark: 8" wall at elevator pit
Length: 36'-0"
Width: 0'-8"
Depth: 13'-6"</t>
  </si>
  <si>
    <t>S5.02</t>
  </si>
  <si>
    <t>6-7/S5.01</t>
  </si>
  <si>
    <t>Mark: 8" Retaining wall at exterior and interior footing
Length: 427'-0"
Width: 0'-8"
Depth: 9'-0"</t>
  </si>
  <si>
    <t>5" slab on grade.</t>
  </si>
  <si>
    <t>10 Mil vapor retarder.</t>
  </si>
  <si>
    <t xml:space="preserve">#4 bars at 18" oc EW </t>
  </si>
  <si>
    <t>1'6" depth Concrete slab (115 sf)</t>
  </si>
  <si>
    <t>#5 at 12" oc EW, top and bottom</t>
  </si>
  <si>
    <t>COLUMN</t>
  </si>
  <si>
    <t>Height: 9'-0"
Width: 1'-6"
Depth: 1'-0"
Count: 22 EA</t>
  </si>
  <si>
    <t>9/S5.01</t>
  </si>
  <si>
    <t>8#6 vertical</t>
  </si>
  <si>
    <t>#4 ties at 6" oc</t>
  </si>
  <si>
    <t>PARAPET</t>
  </si>
  <si>
    <t>Height: 1'-6"
Width: 8"
Length: 354'-0"</t>
  </si>
  <si>
    <t>S2.02</t>
  </si>
  <si>
    <t>2/S6.02</t>
  </si>
  <si>
    <t>#4 bent bat at 15" oc</t>
  </si>
  <si>
    <t>6#5 cont. bars</t>
  </si>
  <si>
    <t>POST TENTIONED SLAB (8" THK)</t>
  </si>
  <si>
    <t>8" reinforced PT Concrete slab (3860 sf)</t>
  </si>
  <si>
    <t>Sloped insulation fill.</t>
  </si>
  <si>
    <t>Pavers.</t>
  </si>
  <si>
    <t>LIGHT WEIGHT CONCRETE SLAB</t>
  </si>
  <si>
    <t>3" thk light weight concrete slab</t>
  </si>
  <si>
    <t>3" metal deck.</t>
  </si>
  <si>
    <t>POST TENTIONED SLAB (12" THK)</t>
  </si>
  <si>
    <t>12" reinforced PT Concrete slab (9580 sf)</t>
  </si>
  <si>
    <t>Metal hand rail at exterior stairs.</t>
  </si>
  <si>
    <t>Glass railing.</t>
  </si>
  <si>
    <t>Guardrail at balcony.</t>
  </si>
  <si>
    <t>Railing at mezzanine</t>
  </si>
  <si>
    <t>Metal grating.</t>
  </si>
  <si>
    <t>METAL GRATING</t>
  </si>
  <si>
    <t>HSS 3 1/2 x 3 1/2 x 3/16 (A500 STEEL) @ 9'H.</t>
  </si>
  <si>
    <t>HSS 3 1/2 x 3 1/2 x 1/4 (A500 STEEL) @ 9'H</t>
  </si>
  <si>
    <t>8x8x1/2 (A500 steel) @ 9'H.</t>
  </si>
  <si>
    <t>HDU5</t>
  </si>
  <si>
    <t>HDU8</t>
  </si>
  <si>
    <t>HDQ8</t>
  </si>
  <si>
    <t>HHDQ14</t>
  </si>
  <si>
    <t>HD19</t>
  </si>
  <si>
    <t>MSTC40</t>
  </si>
  <si>
    <t>MSTC52</t>
  </si>
  <si>
    <t>SIMPSON CC0Q7-SDS2.5 Column cap.</t>
  </si>
  <si>
    <t>SIMPSON H10A Clip at truss end.</t>
  </si>
  <si>
    <t>S1: Simpson strap MSTC28</t>
  </si>
  <si>
    <t>S2: Simpson strap MSTC40</t>
  </si>
  <si>
    <t>S3: Simpson strap MSTC52</t>
  </si>
  <si>
    <t>S4: Simpson strap CMSTC16</t>
  </si>
  <si>
    <t>S5: Simpson strap CMST14</t>
  </si>
  <si>
    <t>LUMBER HARDWARE</t>
  </si>
  <si>
    <t>RF-1: Asphalt roof</t>
  </si>
  <si>
    <t>Shingles.</t>
  </si>
  <si>
    <t>Underlayment.</t>
  </si>
  <si>
    <t>Self-adhered membrane.</t>
  </si>
  <si>
    <t>15/32"-5 Ply plywood rood sheathing APA rated.</t>
  </si>
  <si>
    <t>RF-2: Mechanical roof.</t>
  </si>
  <si>
    <t>Single ply roof membrane (TPO).</t>
  </si>
  <si>
    <t>1/2" protection board.</t>
  </si>
  <si>
    <t>Rigid insulation R-30CI min.</t>
  </si>
  <si>
    <t>Vapor barrier.</t>
  </si>
  <si>
    <t>RF-3: Asphalt roof</t>
  </si>
  <si>
    <t>RF-4: Timber frame roof.</t>
  </si>
  <si>
    <t>Composite shingle.</t>
  </si>
  <si>
    <t>Self adhered vapor retarder.</t>
  </si>
  <si>
    <t>15/32"-5 Ply plywood rood sheathing APA rated</t>
  </si>
  <si>
    <t>FL-3: Floor assembly:</t>
  </si>
  <si>
    <t>7/8" T&amp;G plywood sheathing APA rated.</t>
  </si>
  <si>
    <t>Sound mat.</t>
  </si>
  <si>
    <t>1 1/4" thk topping mix.</t>
  </si>
  <si>
    <t>FL-4: Corridor flooring:</t>
  </si>
  <si>
    <t>4 1/16" thick mass plywood panel (F10-4).</t>
  </si>
  <si>
    <t>Balcony deck.</t>
  </si>
  <si>
    <t>R-30 batt fiberglass or miniral wool batt insulation in garage ceiling.</t>
  </si>
  <si>
    <t>R-49 Batt insulation in roof.</t>
  </si>
  <si>
    <t>SH-1: Shake Shingles.</t>
  </si>
  <si>
    <t>SI-1: Siding.</t>
  </si>
  <si>
    <t>CB-1: Corner board trim.</t>
  </si>
  <si>
    <t>BD-1: Board trim.</t>
  </si>
  <si>
    <t>Spring lock flashing and counter flashing.</t>
  </si>
  <si>
    <t>Roof drain with overflow drain.</t>
  </si>
  <si>
    <t>Pre-finish metal gutter with hanger.</t>
  </si>
  <si>
    <t>Metal drip edge.</t>
  </si>
  <si>
    <t>1x6 fascia, painted.</t>
  </si>
  <si>
    <t>2x10 fascia, painted.</t>
  </si>
  <si>
    <t>Vented fiber cement soffit. (3'W)</t>
  </si>
  <si>
    <t>5/4 x 4 trim.</t>
  </si>
  <si>
    <t>Downspout.</t>
  </si>
  <si>
    <t>G8: Concrete wall non insulated.
-Waterproofing membrane.</t>
  </si>
  <si>
    <t>FLOOR ASSEMBLIES</t>
  </si>
  <si>
    <t>INSULATION</t>
  </si>
  <si>
    <t>EXTERIOR FINISHES</t>
  </si>
  <si>
    <t>FLASHING</t>
  </si>
  <si>
    <t>VENTED SOFFIT</t>
  </si>
  <si>
    <t>ROOF DRAIN/ DOWNSPOUT</t>
  </si>
  <si>
    <t>WATERPROOFING</t>
  </si>
  <si>
    <t>Window type A (7'6"H x 10'W)._x000D_
-Factory mulled fixed vinyl window.</t>
  </si>
  <si>
    <t>Window type B (7'6"H x 8'W)._x000D_
-Factory mulled fixed vinyl window.</t>
  </si>
  <si>
    <t>Window type C (7'6"H x 6'W)._x000D_
-Factory mulled fixed vinyl window.</t>
  </si>
  <si>
    <t>Window type D (7'6"H x 5'W)._x000D_
-Factory mulled fixed vinyl window.</t>
  </si>
  <si>
    <t>Window type E (6'H x 6'W)._x000D_
-Factory mulled fixed vinyl window.</t>
  </si>
  <si>
    <t>Window type F (6'H x 5'W)._x000D_
-Factory mulled fixed vinyl window.</t>
  </si>
  <si>
    <t>Window type G (6'6"H x 8'W)._x000D_
-Factory mulled fixed vinyl window.</t>
  </si>
  <si>
    <t>Window type H (6'6"H x 5'W)._x000D_
-Fixed vinyl window.</t>
  </si>
  <si>
    <t>Window type J (5'H x 5'W)._x000D_
-Slider vinyl window.</t>
  </si>
  <si>
    <t>Window type k (7'6"H x 5'W)._x000D_
-Factory mulled fixed vinyl window.</t>
  </si>
  <si>
    <t>Window type L (7'6"H x 4'W)._x000D_
-Factory mulled fixed vinyl window.</t>
  </si>
  <si>
    <t>Window type M (7'6"H x 3'W)._x000D_
-Factory mulled fixed vinyl window.</t>
  </si>
  <si>
    <t>Window type N (6'H x 3'W)._x000D_
-Factory mulled fixed vinyl window.</t>
  </si>
  <si>
    <t>Window type O (5'6"H x 3'W)._x000D_
-Factory mulled fixed vinyl window.</t>
  </si>
  <si>
    <t>Window type P (6'6"H x 12'W)._x000D_
-Factory mulled fixed vinyl window.</t>
  </si>
  <si>
    <t>Window type Q (2'H x 5'4"W)._x000D_
-Fixed vinyl window.</t>
  </si>
  <si>
    <t>Window type R (2'H x 10'8"W)._x000D_
-Fixed vinyl window.</t>
  </si>
  <si>
    <t>Window type S (9'6"H x 4'6"W)._x000D_
-Fixed vinyl window.</t>
  </si>
  <si>
    <t>Metal door with metal frame._x000D_
-6'W x 7'H x 1 3/4" Thk.</t>
  </si>
  <si>
    <t>Metal door with metal frame._x000D_
-3'W x 7'H x 1 3/8" Thk.</t>
  </si>
  <si>
    <t>Wood door with wood frame._x000D_
-6'W x 7'H x 1 3/4" Thk.</t>
  </si>
  <si>
    <t>Wood door with wood frame._x000D_
-3'W x 7'H x 1 3/8" Thk.</t>
  </si>
  <si>
    <t>Wood door with wood frame._x000D_
-3'W x 7'H x 2" Thk.</t>
  </si>
  <si>
    <t>Alum door with frame._x000D_
-8'W x 7'H x 1 3/4" Thk.</t>
  </si>
  <si>
    <t>Alum door with frame._x000D_
-12'W x 8'6"H x 1 3/4" Thk.</t>
  </si>
  <si>
    <t>Metal door with metal frame._x000D_
-3'W x 8'H x 1 3/4" Thk.</t>
  </si>
  <si>
    <t>Metal door with metal frame._x000D_
-3'6"W x 7'H x 1 3/8" Thk.</t>
  </si>
  <si>
    <t>Metal door with metal frame._x000D_
-3'W x 7'9 1/2"H x 1 3/4" Thk.</t>
  </si>
  <si>
    <t>Wood door with wood frame._x000D_
-3'W x 7'9 1/2"H x 1 3/4" Thk.</t>
  </si>
  <si>
    <t>Vinyl factory finish door at guestroom balcony._x000D_
-8'W x 8'H x 5" Thk.</t>
  </si>
  <si>
    <t>EX-1: Exterior wall</t>
  </si>
  <si>
    <t>Slicker classic rainscreen mat.</t>
  </si>
  <si>
    <t>Weather resistant barrier.</t>
  </si>
  <si>
    <t>15/32" Plywood sheathing.</t>
  </si>
  <si>
    <t>Batt insulation, R-20.</t>
  </si>
  <si>
    <t>5/8" type X gypsum wall board.</t>
  </si>
  <si>
    <t>2x6 wood studs @ 9'H.</t>
  </si>
  <si>
    <t>2x6 bottom plate.</t>
  </si>
  <si>
    <t>2x6 double top plate.</t>
  </si>
  <si>
    <t>EX-2: Exterior wall</t>
  </si>
  <si>
    <t>Gypsum sheathing.</t>
  </si>
  <si>
    <t>B6: Interior wall</t>
  </si>
  <si>
    <t>1 layer of 5/8" GB each side.</t>
  </si>
  <si>
    <t>Batt insulation.</t>
  </si>
  <si>
    <t>2x6 bottom and top plate.</t>
  </si>
  <si>
    <t>Sealant and angle tape both sides.</t>
  </si>
  <si>
    <t>Fire caulk both sides.</t>
  </si>
  <si>
    <t>C4: Interior wall</t>
  </si>
  <si>
    <t>2x4 wood studs @ 9'H.</t>
  </si>
  <si>
    <t>2x4 bottom plate.</t>
  </si>
  <si>
    <t>2x4 double top plate.</t>
  </si>
  <si>
    <t>C6: Interior wall</t>
  </si>
  <si>
    <t>D8: Double Interior wall</t>
  </si>
  <si>
    <t>1 layer of type X, 5/8" GB each side.</t>
  </si>
  <si>
    <t>Batt insulation. x2</t>
  </si>
  <si>
    <t>2x4 wood studs.x2</t>
  </si>
  <si>
    <t>2x8 bottom and top plate.</t>
  </si>
  <si>
    <t>E4: Shaft wall with Fur out</t>
  </si>
  <si>
    <t>1 layer of 5/8" GB.</t>
  </si>
  <si>
    <t>2 layers of 5/8" GB type X.</t>
  </si>
  <si>
    <t>1" Gypsum shaft liner.</t>
  </si>
  <si>
    <t>2 1/2" C-T metal studs.</t>
  </si>
  <si>
    <t>2x4 bottom and top plate.</t>
  </si>
  <si>
    <t>Sealant and angle tape one sides.</t>
  </si>
  <si>
    <t>Fire caulk one sides.</t>
  </si>
  <si>
    <t>F6: Interior wall</t>
  </si>
  <si>
    <t>2 layer of 5/8" GB each side.</t>
  </si>
  <si>
    <t>J8: Concrete wall insulated on interior.</t>
  </si>
  <si>
    <t>1 layer of 5/8" GB one side.</t>
  </si>
  <si>
    <t>R-7.5 continous rigid insulation.</t>
  </si>
  <si>
    <t>Waterproofing membrane.</t>
  </si>
  <si>
    <t>2x4 double top and bottom plate.</t>
  </si>
  <si>
    <t>Sealant and angle tape one side.</t>
  </si>
  <si>
    <t>Fire caulk one side.</t>
  </si>
  <si>
    <t>Sealed concrete flooring.</t>
  </si>
  <si>
    <t>Wood flooring.</t>
  </si>
  <si>
    <t>Wood base.</t>
  </si>
  <si>
    <t>CL-1: 5/8" gypsum board ceiling.</t>
  </si>
  <si>
    <t>CL-2: 2x2 Acoustical ceiling.</t>
  </si>
  <si>
    <t>CL-3: Suspended 5/8" gypsum board ceiling.</t>
  </si>
  <si>
    <t>CL-4: Suspended 5/8" gypsum board ceiling.</t>
  </si>
  <si>
    <t>Wood ceiling.</t>
  </si>
  <si>
    <t>Toilet partition.</t>
  </si>
  <si>
    <t>Grab bar.</t>
  </si>
  <si>
    <t>Double sink.</t>
  </si>
  <si>
    <t>Sink.</t>
  </si>
  <si>
    <t>Shower stall.</t>
  </si>
  <si>
    <t>11 00 00</t>
  </si>
  <si>
    <t>EQUIPMENTS</t>
  </si>
  <si>
    <t>APPLIANCES</t>
  </si>
  <si>
    <t>Micro wave.</t>
  </si>
  <si>
    <t>Refrigerator.</t>
  </si>
  <si>
    <t>Ice maker.</t>
  </si>
  <si>
    <t>Fryer.</t>
  </si>
  <si>
    <t>2(2x6) DF#2 @ 9'LH.</t>
  </si>
  <si>
    <t>6x6 DF #1 @ 9'LH.</t>
  </si>
  <si>
    <t>6x8 DF#1 @ 9'LH.</t>
  </si>
  <si>
    <t>6 3/4 x 12 GLB @ 9'LH.</t>
  </si>
  <si>
    <t>B1: 4x8 (DF#1) @ 9'LL</t>
  </si>
  <si>
    <t>B1: 4x8 (DF#1) @ 6'LL</t>
  </si>
  <si>
    <t>B1: 4x8 (DF#1) @ 4'LL</t>
  </si>
  <si>
    <t>B1: 4x8 (DF#1) @ 3'LL</t>
  </si>
  <si>
    <t>B1: 4x8 (DF#1) @ 5'LL</t>
  </si>
  <si>
    <t>B2: 4x8 (DF#1) @ 4'LL</t>
  </si>
  <si>
    <t>B2: 4x8 (DF#1) @ 6'LL</t>
  </si>
  <si>
    <t>B2: 4x8 (DF#1) @ 3'LL</t>
  </si>
  <si>
    <t>B2: 4x8 (DF#1) @ 10'LL</t>
  </si>
  <si>
    <t>B2: 4x8 (DF#1) @ 5'LL</t>
  </si>
  <si>
    <t>B2: 4x8 (DF#1) @ 16'LL</t>
  </si>
  <si>
    <t>B3: 6x6 (DF#1) @ 9'LL</t>
  </si>
  <si>
    <t>B3: 6x6 (DF#1) @ 8'LL</t>
  </si>
  <si>
    <t>B3: 6x6 (DF#1) @ 6'LL</t>
  </si>
  <si>
    <t>B5: 1 3/4" x 9 1/2" (LVL 2250-1.5E) @ 10'L</t>
  </si>
  <si>
    <t>B7: 1 3/4" x 11 7/8" (LVL 2250-1.5E) @ 15'L</t>
  </si>
  <si>
    <t>B7: 1 3/4" x 11 7/8" (LVL 2250-1.5E) @ 5'L</t>
  </si>
  <si>
    <t>B7: 1 3/4" x 11 7/8" (LVL 2250-1.5E) @ 16'L</t>
  </si>
  <si>
    <t>B7: 1 3/4" x 11 7/8" (LVL 2250-1.5E) @ 14'L</t>
  </si>
  <si>
    <t>B8: 3 1/2" x 11 7/8" (LVL 2250-1.5E) @ 15'L</t>
  </si>
  <si>
    <t>B8: 3 1/2" x 11 7/8" (LVL 2250-1.5E) @ 16'L</t>
  </si>
  <si>
    <t>B9: 3 1/2" x 11 7/8" (LVL 2250-1.5E) @ 18'L</t>
  </si>
  <si>
    <t>B9: 3 1/2" x 11 7/8" (LVL 2250-1.5E) @ 17'L</t>
  </si>
  <si>
    <t>B9: 3 1/2" x 11 7/8" (LVL 2250-1.5E) @ 15'L</t>
  </si>
  <si>
    <t>B9: 3 1/2" x 11 7/8" (LVL 2250-1.5E) @ 3'L</t>
  </si>
  <si>
    <t>B9: 3 1/2" x 11 7/8" (LVL 2250-1.5E) @ 5'L</t>
  </si>
  <si>
    <t>B9: 3 1/2" x 11 7/8" (LVL 2250-1.5E) @ 6'L</t>
  </si>
  <si>
    <t>B9: 3 1/2" x 11 7/8" (LVL 2250-1.5E) @ 9'L</t>
  </si>
  <si>
    <t>B9: 3 1/2" x 11 7/8" (LVL 2250-1.5E) @ 16'L</t>
  </si>
  <si>
    <t>B10: 5 1/4" x 11 7/8" (LVL 2250-1.5E) @ 5'L</t>
  </si>
  <si>
    <t>B10: 5 1/4" x 11 7/8" (LVL 2250-1.5E) @ 4'L</t>
  </si>
  <si>
    <t>B10: 5 1/4" x 11 7/8" (LVL 2250-1.5E) @ 16'L</t>
  </si>
  <si>
    <t>B10: 5 1/4" x 11 7/8" (LVL 2250-1.5E) @ 7'L</t>
  </si>
  <si>
    <t>B10: 5 1/4" x 11 7/8" (LVL 2250-1.5E) @ 0'L</t>
  </si>
  <si>
    <t>B10: 5 1/4" x 11 7/8" (LVL 2250-1.5E) @ 6'L</t>
  </si>
  <si>
    <t>B10: 5 1/4" x 11 7/8" (LVL 2250-1.5E) @ 15'L</t>
  </si>
  <si>
    <t>B10: 5 1/4" x 11 7/8" (LVL 2250-1.5E) @ 13'L</t>
  </si>
  <si>
    <t>B10: 5 1/4" x 11 7/8" (LVL 2250-1.5E) @ 10'L</t>
  </si>
  <si>
    <t>B10: 5 1/4" x 11 7/8" (LVL 2250-1.5E) @ 8'L</t>
  </si>
  <si>
    <t>B10: 5 1/4" x 11 7/8" (LVL 2250-1.5E) @ 12'L</t>
  </si>
  <si>
    <t>B10: 5 1/4" x 11 7/8" (LVL 2250-1.5E) @ 17'L</t>
  </si>
  <si>
    <t>B11: 7" x 11 7/8" (LVL 2250-1.5E) @ 16'L</t>
  </si>
  <si>
    <t>B11: 7" x 11 7/8" (LVL 2250-1.5E) @ 24'L</t>
  </si>
  <si>
    <t>B11: 7" x 11 7/8" (LVL 2250-1.5E) @ 0'L</t>
  </si>
  <si>
    <t>B11: 7" x 11 7/8" (LVL 2250-1.5E) @ 19'L</t>
  </si>
  <si>
    <t>B12: 5 1/2" x 9" (GLB 24F-V4) @ 12'L</t>
  </si>
  <si>
    <t>B12: 5 1/2" x 9" (GLB 24F-V4) @ 11'L</t>
  </si>
  <si>
    <t>B12: 5 1/2" x 9" (GLB 24F-V4) @ 6'L</t>
  </si>
  <si>
    <t>B12: 5 1/2" x 9" (GLB 24F-V4) @ 9'L</t>
  </si>
  <si>
    <t>B12: 5 1/2" x 9" (GLB 24F-V4) @ 8'L</t>
  </si>
  <si>
    <t>B13: 5 1/2" x 10 1/2" (GLB 24F-V4) @ 8'L</t>
  </si>
  <si>
    <t>B13: 5 1/2" x 10 1/2" (GLB 24F-V4) @ 13'L</t>
  </si>
  <si>
    <t>B13: 5 1/2" x 10 1/2" (GLB 24F-V4) @ 7'L</t>
  </si>
  <si>
    <t>B13: 5 1/2" x 10 1/2" (GLB 24F-V4) @ 3'L</t>
  </si>
  <si>
    <t>B13: 5 1/2" x 10 1/2" (GLB 24F-V4) @ 9'L</t>
  </si>
  <si>
    <t>B15: 5 1/2" x 15" (GLB 24F-V4) @ 17'L</t>
  </si>
  <si>
    <t>B16: 5 1/2" x 19 1/2" (GLB 24F-V4) @ 13'L</t>
  </si>
  <si>
    <t>B16: 5 1/2" x 19 1/2" (GLB 24F-V4) @ 17'L</t>
  </si>
  <si>
    <t xml:space="preserve">B17: 6 3/4" x 15" (GLB 24F-V4) @ </t>
  </si>
  <si>
    <t>B17 Plies(1) @ 11'L</t>
  </si>
  <si>
    <t>B17 Plies(1) @ 13'L</t>
  </si>
  <si>
    <t>B18: 6 3/4" x 21" (GLB 24F-V4) @ 15'L</t>
  </si>
  <si>
    <t>B19: 6 3/4" x 24" (GLB 24F-V4) @ 38'L</t>
  </si>
  <si>
    <t>8 3/4" x 27" GLB@ 43'L</t>
  </si>
  <si>
    <t>8 3/4" x 27" GLB @ 44'L</t>
  </si>
  <si>
    <t>1 3/4" x 11 7/8" LVL rim w/ 10d nails top and bottom each joist.</t>
  </si>
  <si>
    <t>2x8 Joist @ 28'LL</t>
  </si>
  <si>
    <t>2x8 Joist @ 26'L</t>
  </si>
  <si>
    <t>2x8 Joist @ 24'L</t>
  </si>
  <si>
    <t>2x8 Joist @ 22'L</t>
  </si>
  <si>
    <t>2x8 Joist @ 20'L</t>
  </si>
  <si>
    <t>2x8 Joist @ 16'L</t>
  </si>
  <si>
    <t>2x8 Joist @ 12'L</t>
  </si>
  <si>
    <t>2x8 Joist @ 8'L</t>
  </si>
  <si>
    <t>2x8 Joist @ 4'L</t>
  </si>
  <si>
    <t>2x8 Joist @ 14'L</t>
  </si>
  <si>
    <t>2x8 Joist @ 13'L</t>
  </si>
  <si>
    <t>2x8 Joist @ 9'L</t>
  </si>
  <si>
    <t>2x8 Joist @ 7'L</t>
  </si>
  <si>
    <t>2x8 Joist @ 5'L</t>
  </si>
  <si>
    <t>2x8 Joist @ 3'L</t>
  </si>
  <si>
    <t>11 7/8" RED-I45 joist @ 15'L.</t>
  </si>
  <si>
    <t>11 7/8" RED-I45 joist @ 16'L.</t>
  </si>
  <si>
    <t>11 7/8" RED-I45 joist @ 7'L.</t>
  </si>
  <si>
    <t>11 7/8" RED-I65 joist @ 15'L.</t>
  </si>
  <si>
    <t>11 7/8" RED-I45 joist @ 13'L.</t>
  </si>
  <si>
    <t>11 7/8" RED-I45 joist @ 11'L.</t>
  </si>
  <si>
    <t>9 1/2" RED-I45 @ 9'L.</t>
  </si>
  <si>
    <t>Manufactured roof truss @ 20'6"L.</t>
  </si>
  <si>
    <t>Roof trusses @ 26'L.</t>
  </si>
  <si>
    <t>Roof trusses @ 51'L.</t>
  </si>
  <si>
    <t>Roof trusses @ 49'L.</t>
  </si>
  <si>
    <t>Roof trusses @ 47'L.</t>
  </si>
  <si>
    <t>HEADER AND BEAM</t>
  </si>
  <si>
    <t>RIM JOIST</t>
  </si>
  <si>
    <t>JOIST</t>
  </si>
  <si>
    <t>TRUSSES</t>
  </si>
  <si>
    <t>Floor drain.</t>
  </si>
  <si>
    <t>Concrete wheel stop. (6'L)</t>
  </si>
  <si>
    <t>4" stripping in garage.</t>
  </si>
  <si>
    <t>GARAGE FURNISHING</t>
  </si>
  <si>
    <t>32 00 00</t>
  </si>
  <si>
    <t>Aluminum guard rail at stairs.</t>
  </si>
  <si>
    <t>Aluminum handrail at stairs.</t>
  </si>
  <si>
    <t>RAILING</t>
  </si>
  <si>
    <t>STAIRS</t>
  </si>
  <si>
    <t>Stair. (4' W)
-16 treads.
-17 Risers.</t>
  </si>
  <si>
    <t>STAIR</t>
  </si>
  <si>
    <t>A1.01</t>
  </si>
  <si>
    <t>Reinforced Concrete exterior stairs.</t>
  </si>
  <si>
    <t>SIMPSON Column cap.</t>
  </si>
  <si>
    <t>COLUMNS</t>
  </si>
  <si>
    <t>SIMPSON HGUS7.25/10. (Typical at beam connection)</t>
  </si>
  <si>
    <t>S2.03 TO S2.05a</t>
  </si>
  <si>
    <t>A1.40</t>
  </si>
  <si>
    <t>A1.01 TO A1.30</t>
  </si>
  <si>
    <t>A9.01</t>
  </si>
  <si>
    <t>A1.60 TO A1.63</t>
  </si>
  <si>
    <t>Paint at exposed concrete. (Assumed)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</si>
</sst>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_(&quot;$&quot;* #,##0_);_(&quot;$&quot;* \(#,##0\);_(&quot;$&quot;* &quot;-&quot;??_);_(@_)"/>
    <numFmt numFmtId="169" formatCode="[$-F800]dddd\,\ mmmm\ dd\,\ yyyy"/>
    <numFmt numFmtId="170" formatCode="0.000"/>
    <numFmt numFmtId="171" formatCode="0.0"/>
    <numFmt numFmtId="172" formatCode="0.0000000"/>
    <numFmt numFmtId="173" formatCode="_(* #,##0.0_);_(* \(#,##0.0\);_(* &quot;-&quot;_);_(@_)"/>
    <numFmt numFmtId="174" formatCode="0\ &quot;CY&quot;"/>
  </numFmts>
  <fonts count="4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Arial"/>
      <family val="2"/>
    </font>
    <font>
      <b/>
      <sz val="12"/>
      <color theme="1"/>
      <name val="Verdana"/>
      <family val="2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/>
      <name val="Verdana"/>
      <family val="2"/>
    </font>
    <font>
      <i/>
      <sz val="12"/>
      <name val="Calibri"/>
      <family val="2"/>
      <scheme val="minor"/>
    </font>
    <font>
      <b/>
      <i/>
      <sz val="12"/>
      <name val="Verdana"/>
      <family val="2"/>
    </font>
    <font>
      <i/>
      <u/>
      <sz val="12"/>
      <color theme="10"/>
      <name val="Arial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166" fontId="22" fillId="0" borderId="0" applyFont="0" applyFill="0" applyBorder="0" applyAlignment="0" applyProtection="0"/>
    <xf numFmtId="0" fontId="23" fillId="0" borderId="0"/>
    <xf numFmtId="166" fontId="4" fillId="0" borderId="0" applyFont="0" applyFill="0" applyBorder="0" applyAlignment="0" applyProtection="0"/>
    <xf numFmtId="0" fontId="4" fillId="0" borderId="0"/>
    <xf numFmtId="165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264">
    <xf numFmtId="0" fontId="0" fillId="0" borderId="0" xfId="0"/>
    <xf numFmtId="0" fontId="24" fillId="24" borderId="13" xfId="0" applyFont="1" applyFill="1" applyBorder="1" applyAlignment="1">
      <alignment horizontal="left" vertical="top"/>
    </xf>
    <xf numFmtId="1" fontId="25" fillId="26" borderId="21" xfId="0" applyNumberFormat="1" applyFont="1" applyFill="1" applyBorder="1" applyAlignment="1">
      <alignment horizontal="left" vertical="top"/>
    </xf>
    <xf numFmtId="1" fontId="25" fillId="26" borderId="20" xfId="0" applyNumberFormat="1" applyFont="1" applyFill="1" applyBorder="1" applyAlignment="1">
      <alignment horizontal="left" vertical="top"/>
    </xf>
    <xf numFmtId="0" fontId="24" fillId="26" borderId="20" xfId="0" applyFont="1" applyFill="1" applyBorder="1" applyAlignment="1">
      <alignment horizontal="left" vertical="top" wrapText="1"/>
    </xf>
    <xf numFmtId="1" fontId="24" fillId="26" borderId="20" xfId="0" applyNumberFormat="1" applyFont="1" applyFill="1" applyBorder="1" applyAlignment="1">
      <alignment horizontal="center" vertical="top"/>
    </xf>
    <xf numFmtId="164" fontId="24" fillId="26" borderId="20" xfId="0" applyNumberFormat="1" applyFont="1" applyFill="1" applyBorder="1" applyAlignment="1">
      <alignment horizontal="right" vertical="top"/>
    </xf>
    <xf numFmtId="0" fontId="24" fillId="24" borderId="12" xfId="0" applyFont="1" applyFill="1" applyBorder="1" applyAlignment="1">
      <alignment vertical="top"/>
    </xf>
    <xf numFmtId="9" fontId="24" fillId="24" borderId="10" xfId="56" applyFont="1" applyFill="1" applyBorder="1" applyAlignment="1" applyProtection="1">
      <alignment horizontal="center" vertical="top"/>
    </xf>
    <xf numFmtId="168" fontId="25" fillId="24" borderId="24" xfId="0" applyNumberFormat="1" applyFont="1" applyFill="1" applyBorder="1" applyAlignment="1">
      <alignment horizontal="left" vertical="top"/>
    </xf>
    <xf numFmtId="168" fontId="25" fillId="26" borderId="22" xfId="0" applyNumberFormat="1" applyFont="1" applyFill="1" applyBorder="1" applyAlignment="1">
      <alignment horizontal="left" vertical="top"/>
    </xf>
    <xf numFmtId="164" fontId="24" fillId="24" borderId="10" xfId="45" applyNumberFormat="1" applyFont="1" applyFill="1" applyBorder="1" applyAlignment="1">
      <alignment horizontal="center" vertical="top"/>
    </xf>
    <xf numFmtId="1" fontId="24" fillId="0" borderId="36" xfId="45" applyNumberFormat="1" applyFont="1" applyBorder="1" applyAlignment="1">
      <alignment horizontal="center" vertical="top"/>
    </xf>
    <xf numFmtId="1" fontId="24" fillId="0" borderId="16" xfId="45" applyNumberFormat="1" applyFont="1" applyBorder="1" applyAlignment="1">
      <alignment horizontal="center" vertical="top"/>
    </xf>
    <xf numFmtId="0" fontId="24" fillId="24" borderId="10" xfId="45" applyFont="1" applyFill="1" applyBorder="1" applyAlignment="1">
      <alignment horizontal="center" vertical="top" wrapText="1"/>
    </xf>
    <xf numFmtId="0" fontId="24" fillId="24" borderId="18" xfId="45" applyFont="1" applyFill="1" applyBorder="1" applyAlignment="1">
      <alignment horizontal="center" vertical="top" wrapText="1"/>
    </xf>
    <xf numFmtId="2" fontId="25" fillId="0" borderId="22" xfId="45" applyNumberFormat="1" applyFont="1" applyBorder="1" applyAlignment="1">
      <alignment horizontal="left" vertical="top" wrapText="1"/>
    </xf>
    <xf numFmtId="9" fontId="24" fillId="0" borderId="10" xfId="45" applyNumberFormat="1" applyFont="1" applyBorder="1" applyAlignment="1">
      <alignment horizontal="center" vertical="top"/>
    </xf>
    <xf numFmtId="164" fontId="24" fillId="0" borderId="10" xfId="45" applyNumberFormat="1" applyFont="1" applyBorder="1" applyAlignment="1">
      <alignment horizontal="center" vertical="top"/>
    </xf>
    <xf numFmtId="0" fontId="24" fillId="0" borderId="0" xfId="45" applyFont="1" applyAlignment="1">
      <alignment vertical="top"/>
    </xf>
    <xf numFmtId="168" fontId="24" fillId="0" borderId="18" xfId="45" applyNumberFormat="1" applyFont="1" applyBorder="1" applyAlignment="1">
      <alignment horizontal="center" vertical="top"/>
    </xf>
    <xf numFmtId="2" fontId="24" fillId="0" borderId="38" xfId="45" applyNumberFormat="1" applyFont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24" fillId="24" borderId="0" xfId="0" applyFont="1" applyFill="1" applyAlignment="1">
      <alignment vertical="top"/>
    </xf>
    <xf numFmtId="0" fontId="24" fillId="24" borderId="0" xfId="45" applyFont="1" applyFill="1" applyAlignment="1">
      <alignment vertical="top"/>
    </xf>
    <xf numFmtId="2" fontId="31" fillId="24" borderId="0" xfId="0" applyNumberFormat="1" applyFont="1" applyFill="1" applyAlignment="1">
      <alignment horizontal="center" vertical="top"/>
    </xf>
    <xf numFmtId="0" fontId="24" fillId="24" borderId="11" xfId="0" applyFont="1" applyFill="1" applyBorder="1" applyAlignment="1">
      <alignment horizontal="left" vertical="top"/>
    </xf>
    <xf numFmtId="14" fontId="24" fillId="24" borderId="12" xfId="0" applyNumberFormat="1" applyFont="1" applyFill="1" applyBorder="1" applyAlignment="1">
      <alignment horizontal="left" vertical="top"/>
    </xf>
    <xf numFmtId="2" fontId="3" fillId="24" borderId="12" xfId="45" applyNumberFormat="1" applyFont="1" applyFill="1" applyBorder="1" applyAlignment="1">
      <alignment vertical="top"/>
    </xf>
    <xf numFmtId="0" fontId="24" fillId="24" borderId="12" xfId="45" applyFont="1" applyFill="1" applyBorder="1" applyAlignment="1">
      <alignment vertical="top"/>
    </xf>
    <xf numFmtId="14" fontId="24" fillId="24" borderId="0" xfId="0" applyNumberFormat="1" applyFont="1" applyFill="1" applyAlignment="1">
      <alignment horizontal="left" vertical="top"/>
    </xf>
    <xf numFmtId="2" fontId="3" fillId="24" borderId="0" xfId="45" applyNumberFormat="1" applyFont="1" applyFill="1" applyAlignment="1">
      <alignment vertical="top"/>
    </xf>
    <xf numFmtId="167" fontId="26" fillId="28" borderId="0" xfId="0" applyNumberFormat="1" applyFont="1" applyFill="1" applyAlignment="1">
      <alignment horizontal="center" vertical="top" wrapText="1"/>
    </xf>
    <xf numFmtId="0" fontId="28" fillId="24" borderId="0" xfId="0" applyFont="1" applyFill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4" fillId="0" borderId="26" xfId="45" applyFont="1" applyBorder="1" applyAlignment="1">
      <alignment horizontal="center" vertical="top"/>
    </xf>
    <xf numFmtId="0" fontId="25" fillId="27" borderId="29" xfId="45" applyFont="1" applyFill="1" applyBorder="1" applyAlignment="1">
      <alignment vertical="top"/>
    </xf>
    <xf numFmtId="0" fontId="25" fillId="27" borderId="19" xfId="45" applyFont="1" applyFill="1" applyBorder="1" applyAlignment="1">
      <alignment horizontal="center" vertical="center"/>
    </xf>
    <xf numFmtId="0" fontId="25" fillId="27" borderId="19" xfId="45" applyFont="1" applyFill="1" applyBorder="1" applyAlignment="1">
      <alignment horizontal="left" vertical="top"/>
    </xf>
    <xf numFmtId="1" fontId="24" fillId="27" borderId="19" xfId="45" applyNumberFormat="1" applyFont="1" applyFill="1" applyBorder="1" applyAlignment="1">
      <alignment horizontal="center" vertical="top"/>
    </xf>
    <xf numFmtId="0" fontId="24" fillId="27" borderId="19" xfId="45" applyFont="1" applyFill="1" applyBorder="1" applyAlignment="1">
      <alignment vertical="top"/>
    </xf>
    <xf numFmtId="0" fontId="29" fillId="25" borderId="0" xfId="45" applyFont="1" applyFill="1" applyAlignment="1">
      <alignment vertical="top"/>
    </xf>
    <xf numFmtId="0" fontId="24" fillId="24" borderId="16" xfId="45" applyFont="1" applyFill="1" applyBorder="1" applyAlignment="1">
      <alignment horizontal="center" vertical="top" wrapText="1"/>
    </xf>
    <xf numFmtId="0" fontId="24" fillId="24" borderId="0" xfId="45" applyFont="1" applyFill="1" applyAlignment="1">
      <alignment horizontal="center" vertical="top" wrapText="1"/>
    </xf>
    <xf numFmtId="9" fontId="24" fillId="0" borderId="31" xfId="45" applyNumberFormat="1" applyFont="1" applyBorder="1" applyAlignment="1">
      <alignment horizontal="center" vertical="top"/>
    </xf>
    <xf numFmtId="164" fontId="24" fillId="0" borderId="32" xfId="45" applyNumberFormat="1" applyFont="1" applyBorder="1" applyAlignment="1">
      <alignment horizontal="center" vertical="top"/>
    </xf>
    <xf numFmtId="170" fontId="24" fillId="0" borderId="36" xfId="45" applyNumberFormat="1" applyFont="1" applyBorder="1" applyAlignment="1">
      <alignment horizontal="center" vertical="top"/>
    </xf>
    <xf numFmtId="2" fontId="24" fillId="0" borderId="39" xfId="45" applyNumberFormat="1" applyFont="1" applyBorder="1" applyAlignment="1">
      <alignment horizontal="left" vertical="top" wrapText="1"/>
    </xf>
    <xf numFmtId="171" fontId="24" fillId="0" borderId="16" xfId="45" applyNumberFormat="1" applyFont="1" applyBorder="1" applyAlignment="1">
      <alignment horizontal="center" vertical="top"/>
    </xf>
    <xf numFmtId="172" fontId="24" fillId="0" borderId="0" xfId="45" applyNumberFormat="1" applyFont="1" applyAlignment="1">
      <alignment vertical="top"/>
    </xf>
    <xf numFmtId="9" fontId="24" fillId="24" borderId="10" xfId="45" applyNumberFormat="1" applyFont="1" applyFill="1" applyBorder="1" applyAlignment="1">
      <alignment horizontal="center" vertical="top"/>
    </xf>
    <xf numFmtId="2" fontId="32" fillId="0" borderId="38" xfId="45" applyNumberFormat="1" applyFont="1" applyBorder="1" applyAlignment="1">
      <alignment horizontal="left" vertical="top" wrapText="1"/>
    </xf>
    <xf numFmtId="2" fontId="24" fillId="0" borderId="0" xfId="45" applyNumberFormat="1" applyFont="1" applyAlignment="1">
      <alignment vertical="top"/>
    </xf>
    <xf numFmtId="173" fontId="24" fillId="0" borderId="10" xfId="45" applyNumberFormat="1" applyFont="1" applyBorder="1" applyAlignment="1">
      <alignment horizontal="center" vertical="top"/>
    </xf>
    <xf numFmtId="2" fontId="32" fillId="0" borderId="33" xfId="45" applyNumberFormat="1" applyFont="1" applyBorder="1" applyAlignment="1">
      <alignment horizontal="left" vertical="top" wrapText="1"/>
    </xf>
    <xf numFmtId="1" fontId="24" fillId="0" borderId="32" xfId="45" applyNumberFormat="1" applyFont="1" applyBorder="1" applyAlignment="1">
      <alignment horizontal="center" vertical="top"/>
    </xf>
    <xf numFmtId="1" fontId="24" fillId="0" borderId="10" xfId="45" applyNumberFormat="1" applyFont="1" applyBorder="1" applyAlignment="1">
      <alignment horizontal="center" vertical="top"/>
    </xf>
    <xf numFmtId="0" fontId="38" fillId="24" borderId="10" xfId="45" applyFont="1" applyFill="1" applyBorder="1" applyAlignment="1">
      <alignment horizontal="center" vertical="top" wrapText="1"/>
    </xf>
    <xf numFmtId="2" fontId="24" fillId="0" borderId="33" xfId="45" applyNumberFormat="1" applyFont="1" applyBorder="1" applyAlignment="1">
      <alignment horizontal="left" vertical="top" wrapText="1"/>
    </xf>
    <xf numFmtId="0" fontId="24" fillId="24" borderId="34" xfId="45" applyFont="1" applyFill="1" applyBorder="1" applyAlignment="1">
      <alignment horizontal="center" vertical="top" wrapText="1"/>
    </xf>
    <xf numFmtId="0" fontId="24" fillId="0" borderId="34" xfId="45" applyFont="1" applyBorder="1" applyAlignment="1">
      <alignment horizontal="center" vertical="top" wrapText="1"/>
    </xf>
    <xf numFmtId="2" fontId="25" fillId="0" borderId="10" xfId="45" applyNumberFormat="1" applyFont="1" applyBorder="1" applyAlignment="1">
      <alignment horizontal="center" vertical="top" wrapText="1"/>
    </xf>
    <xf numFmtId="1" fontId="24" fillId="24" borderId="16" xfId="45" applyNumberFormat="1" applyFont="1" applyFill="1" applyBorder="1" applyAlignment="1">
      <alignment horizontal="right" vertical="top"/>
    </xf>
    <xf numFmtId="2" fontId="25" fillId="0" borderId="10" xfId="45" applyNumberFormat="1" applyFont="1" applyBorder="1" applyAlignment="1">
      <alignment horizontal="right" vertical="top" wrapText="1"/>
    </xf>
    <xf numFmtId="9" fontId="24" fillId="0" borderId="16" xfId="45" applyNumberFormat="1" applyFont="1" applyBorder="1" applyAlignment="1">
      <alignment horizontal="center" vertical="top"/>
    </xf>
    <xf numFmtId="168" fontId="25" fillId="0" borderId="40" xfId="55" applyNumberFormat="1" applyFont="1" applyFill="1" applyBorder="1" applyAlignment="1">
      <alignment horizontal="center" vertical="top"/>
    </xf>
    <xf numFmtId="168" fontId="25" fillId="0" borderId="22" xfId="55" applyNumberFormat="1" applyFont="1" applyFill="1" applyBorder="1" applyAlignment="1">
      <alignment horizontal="center" vertical="top"/>
    </xf>
    <xf numFmtId="165" fontId="24" fillId="0" borderId="0" xfId="45" applyNumberFormat="1" applyFont="1" applyAlignment="1">
      <alignment vertical="top"/>
    </xf>
    <xf numFmtId="2" fontId="39" fillId="0" borderId="10" xfId="45" applyNumberFormat="1" applyFont="1" applyBorder="1" applyAlignment="1">
      <alignment horizontal="left" vertical="top" wrapText="1"/>
    </xf>
    <xf numFmtId="168" fontId="24" fillId="0" borderId="40" xfId="55" applyNumberFormat="1" applyFont="1" applyFill="1" applyBorder="1" applyAlignment="1">
      <alignment horizontal="center" vertical="top"/>
    </xf>
    <xf numFmtId="1" fontId="25" fillId="0" borderId="17" xfId="45" applyNumberFormat="1" applyFont="1" applyBorder="1" applyAlignment="1">
      <alignment horizontal="left" vertical="top"/>
    </xf>
    <xf numFmtId="0" fontId="24" fillId="0" borderId="17" xfId="45" applyFont="1" applyBorder="1" applyAlignment="1">
      <alignment horizontal="left" vertical="top" wrapText="1"/>
    </xf>
    <xf numFmtId="1" fontId="24" fillId="0" borderId="17" xfId="45" applyNumberFormat="1" applyFont="1" applyBorder="1" applyAlignment="1">
      <alignment horizontal="center" vertical="top"/>
    </xf>
    <xf numFmtId="164" fontId="24" fillId="0" borderId="17" xfId="45" applyNumberFormat="1" applyFont="1" applyBorder="1" applyAlignment="1">
      <alignment horizontal="right" vertical="top"/>
    </xf>
    <xf numFmtId="168" fontId="25" fillId="24" borderId="30" xfId="0" applyNumberFormat="1" applyFont="1" applyFill="1" applyBorder="1" applyAlignment="1">
      <alignment horizontal="center" vertical="top"/>
    </xf>
    <xf numFmtId="1" fontId="25" fillId="0" borderId="21" xfId="0" applyNumberFormat="1" applyFont="1" applyBorder="1" applyAlignment="1">
      <alignment horizontal="left" vertical="top"/>
    </xf>
    <xf numFmtId="1" fontId="25" fillId="0" borderId="17" xfId="0" applyNumberFormat="1" applyFont="1" applyBorder="1" applyAlignment="1">
      <alignment horizontal="left" vertical="top"/>
    </xf>
    <xf numFmtId="0" fontId="24" fillId="0" borderId="17" xfId="0" applyFont="1" applyBorder="1" applyAlignment="1">
      <alignment horizontal="left" vertical="top" wrapText="1"/>
    </xf>
    <xf numFmtId="1" fontId="24" fillId="0" borderId="17" xfId="0" applyNumberFormat="1" applyFont="1" applyBorder="1" applyAlignment="1">
      <alignment horizontal="center" vertical="top"/>
    </xf>
    <xf numFmtId="164" fontId="24" fillId="0" borderId="17" xfId="0" applyNumberFormat="1" applyFont="1" applyBorder="1" applyAlignment="1">
      <alignment horizontal="right" vertical="top"/>
    </xf>
    <xf numFmtId="168" fontId="25" fillId="0" borderId="22" xfId="0" applyNumberFormat="1" applyFont="1" applyBorder="1" applyAlignment="1">
      <alignment horizontal="left" vertical="top"/>
    </xf>
    <xf numFmtId="1" fontId="26" fillId="31" borderId="21" xfId="0" applyNumberFormat="1" applyFont="1" applyFill="1" applyBorder="1" applyAlignment="1">
      <alignment horizontal="left" vertical="top"/>
    </xf>
    <xf numFmtId="0" fontId="28" fillId="31" borderId="19" xfId="0" applyFont="1" applyFill="1" applyBorder="1" applyAlignment="1">
      <alignment horizontal="center" vertical="top"/>
    </xf>
    <xf numFmtId="2" fontId="28" fillId="31" borderId="19" xfId="0" applyNumberFormat="1" applyFont="1" applyFill="1" applyBorder="1" applyAlignment="1">
      <alignment horizontal="left" vertical="top" wrapText="1"/>
    </xf>
    <xf numFmtId="1" fontId="28" fillId="31" borderId="19" xfId="0" applyNumberFormat="1" applyFont="1" applyFill="1" applyBorder="1" applyAlignment="1">
      <alignment horizontal="center" vertical="top"/>
    </xf>
    <xf numFmtId="2" fontId="28" fillId="31" borderId="19" xfId="0" applyNumberFormat="1" applyFont="1" applyFill="1" applyBorder="1" applyAlignment="1">
      <alignment horizontal="center" vertical="top" wrapText="1"/>
    </xf>
    <xf numFmtId="2" fontId="30" fillId="31" borderId="19" xfId="54" applyNumberFormat="1" applyFont="1" applyFill="1" applyBorder="1" applyAlignment="1">
      <alignment horizontal="left" vertical="top"/>
    </xf>
    <xf numFmtId="168" fontId="26" fillId="31" borderId="42" xfId="0" applyNumberFormat="1" applyFont="1" applyFill="1" applyBorder="1" applyAlignment="1">
      <alignment horizontal="left" vertical="top"/>
    </xf>
    <xf numFmtId="168" fontId="26" fillId="31" borderId="37" xfId="0" applyNumberFormat="1" applyFont="1" applyFill="1" applyBorder="1" applyAlignment="1">
      <alignment horizontal="left" vertical="top"/>
    </xf>
    <xf numFmtId="0" fontId="40" fillId="0" borderId="13" xfId="45" applyFont="1" applyBorder="1" applyAlignment="1">
      <alignment horizontal="left" vertical="top"/>
    </xf>
    <xf numFmtId="0" fontId="40" fillId="0" borderId="14" xfId="45" applyFont="1" applyBorder="1" applyAlignment="1">
      <alignment horizontal="left" vertical="top"/>
    </xf>
    <xf numFmtId="0" fontId="24" fillId="0" borderId="15" xfId="45" applyFont="1" applyBorder="1" applyAlignment="1">
      <alignment vertical="top"/>
    </xf>
    <xf numFmtId="0" fontId="24" fillId="0" borderId="13" xfId="45" applyFont="1" applyBorder="1" applyAlignment="1">
      <alignment horizontal="center" vertical="top"/>
    </xf>
    <xf numFmtId="0" fontId="24" fillId="0" borderId="0" xfId="45" applyFont="1" applyAlignment="1">
      <alignment horizontal="center" vertical="top"/>
    </xf>
    <xf numFmtId="2" fontId="24" fillId="0" borderId="0" xfId="45" applyNumberFormat="1" applyFont="1" applyAlignment="1">
      <alignment horizontal="left" vertical="top" wrapText="1"/>
    </xf>
    <xf numFmtId="1" fontId="24" fillId="0" borderId="0" xfId="45" applyNumberFormat="1" applyFont="1" applyAlignment="1">
      <alignment horizontal="center" vertical="top" wrapText="1"/>
    </xf>
    <xf numFmtId="2" fontId="24" fillId="0" borderId="0" xfId="45" applyNumberFormat="1" applyFont="1" applyAlignment="1">
      <alignment horizontal="center" vertical="top" wrapText="1"/>
    </xf>
    <xf numFmtId="0" fontId="24" fillId="0" borderId="12" xfId="45" applyFont="1" applyFill="1" applyBorder="1" applyAlignment="1">
      <alignment vertical="top"/>
    </xf>
    <xf numFmtId="0" fontId="24" fillId="0" borderId="0" xfId="45" applyFont="1" applyFill="1" applyAlignment="1">
      <alignment vertical="top"/>
    </xf>
    <xf numFmtId="0" fontId="24" fillId="0" borderId="10" xfId="45" applyFont="1" applyFill="1" applyBorder="1" applyAlignment="1">
      <alignment horizontal="center" vertical="top"/>
    </xf>
    <xf numFmtId="0" fontId="24" fillId="0" borderId="17" xfId="45" applyFont="1" applyFill="1" applyBorder="1" applyAlignment="1">
      <alignment horizontal="center" vertical="top"/>
    </xf>
    <xf numFmtId="0" fontId="24" fillId="0" borderId="17" xfId="0" applyFont="1" applyFill="1" applyBorder="1" applyAlignment="1">
      <alignment horizontal="center" vertical="top"/>
    </xf>
    <xf numFmtId="0" fontId="24" fillId="0" borderId="15" xfId="45" applyFont="1" applyFill="1" applyBorder="1" applyAlignment="1">
      <alignment vertical="top"/>
    </xf>
    <xf numFmtId="0" fontId="24" fillId="0" borderId="0" xfId="45" applyFont="1" applyFill="1" applyAlignment="1">
      <alignment horizontal="center" vertical="top"/>
    </xf>
    <xf numFmtId="0" fontId="24" fillId="24" borderId="10" xfId="45" applyFont="1" applyFill="1" applyBorder="1" applyAlignment="1">
      <alignment horizontal="center" vertical="center"/>
    </xf>
    <xf numFmtId="0" fontId="24" fillId="24" borderId="18" xfId="45" applyFont="1" applyFill="1" applyBorder="1" applyAlignment="1">
      <alignment horizontal="center" vertical="center" wrapText="1"/>
    </xf>
    <xf numFmtId="0" fontId="24" fillId="24" borderId="10" xfId="45" applyFont="1" applyFill="1" applyBorder="1" applyAlignment="1">
      <alignment horizontal="center" vertical="center" wrapText="1"/>
    </xf>
    <xf numFmtId="164" fontId="24" fillId="0" borderId="10" xfId="45" applyNumberFormat="1" applyFont="1" applyBorder="1" applyAlignment="1">
      <alignment horizontal="center" vertical="center"/>
    </xf>
    <xf numFmtId="0" fontId="24" fillId="0" borderId="10" xfId="45" applyFont="1" applyFill="1" applyBorder="1" applyAlignment="1">
      <alignment horizontal="center" vertical="center"/>
    </xf>
    <xf numFmtId="0" fontId="24" fillId="0" borderId="0" xfId="45" applyFont="1" applyAlignment="1">
      <alignment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24" fillId="24" borderId="18" xfId="45" applyFont="1" applyFill="1" applyBorder="1" applyAlignment="1">
      <alignment horizontal="center" vertical="center"/>
    </xf>
    <xf numFmtId="0" fontId="24" fillId="24" borderId="16" xfId="45" applyFont="1" applyFill="1" applyBorder="1" applyAlignment="1">
      <alignment horizontal="center" vertical="center"/>
    </xf>
    <xf numFmtId="1" fontId="25" fillId="0" borderId="17" xfId="45" applyNumberFormat="1" applyFont="1" applyBorder="1" applyAlignment="1">
      <alignment horizontal="left" vertical="center"/>
    </xf>
    <xf numFmtId="1" fontId="25" fillId="26" borderId="28" xfId="0" applyNumberFormat="1" applyFont="1" applyFill="1" applyBorder="1" applyAlignment="1">
      <alignment horizontal="left" vertical="center"/>
    </xf>
    <xf numFmtId="1" fontId="25" fillId="0" borderId="17" xfId="0" applyNumberFormat="1" applyFont="1" applyBorder="1" applyAlignment="1">
      <alignment horizontal="left" vertical="center"/>
    </xf>
    <xf numFmtId="0" fontId="28" fillId="31" borderId="19" xfId="0" applyFont="1" applyFill="1" applyBorder="1" applyAlignment="1">
      <alignment horizontal="center" vertical="center"/>
    </xf>
    <xf numFmtId="0" fontId="24" fillId="0" borderId="15" xfId="45" applyFont="1" applyBorder="1" applyAlignment="1">
      <alignment vertical="center"/>
    </xf>
    <xf numFmtId="0" fontId="24" fillId="0" borderId="0" xfId="45" applyFont="1" applyAlignment="1">
      <alignment horizontal="center" vertical="center"/>
    </xf>
    <xf numFmtId="174" fontId="25" fillId="24" borderId="34" xfId="45" applyNumberFormat="1" applyFont="1" applyFill="1" applyBorder="1" applyAlignment="1">
      <alignment horizontal="center" vertical="center" wrapText="1"/>
    </xf>
    <xf numFmtId="9" fontId="24" fillId="24" borderId="10" xfId="56" applyFont="1" applyFill="1" applyBorder="1" applyAlignment="1" applyProtection="1">
      <alignment horizontal="center" vertical="center"/>
    </xf>
    <xf numFmtId="166" fontId="24" fillId="0" borderId="0" xfId="45" applyNumberFormat="1" applyFont="1" applyAlignment="1">
      <alignment vertical="center"/>
    </xf>
    <xf numFmtId="2" fontId="24" fillId="0" borderId="0" xfId="45" applyNumberFormat="1" applyFont="1" applyBorder="1" applyAlignment="1">
      <alignment horizontal="left" vertical="center" wrapText="1"/>
    </xf>
    <xf numFmtId="1" fontId="24" fillId="0" borderId="10" xfId="45" applyNumberFormat="1" applyFont="1" applyBorder="1" applyAlignment="1">
      <alignment horizontal="center" vertical="center"/>
    </xf>
    <xf numFmtId="0" fontId="29" fillId="0" borderId="0" xfId="45" applyFont="1" applyFill="1" applyAlignment="1">
      <alignment vertical="top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0" borderId="34" xfId="0" applyFont="1" applyBorder="1" applyAlignment="1">
      <alignment wrapText="1"/>
    </xf>
    <xf numFmtId="0" fontId="29" fillId="0" borderId="3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164" fontId="24" fillId="0" borderId="10" xfId="45" applyNumberFormat="1" applyFont="1" applyFill="1" applyBorder="1" applyAlignment="1">
      <alignment horizontal="center" vertical="top"/>
    </xf>
    <xf numFmtId="168" fontId="24" fillId="0" borderId="18" xfId="45" applyNumberFormat="1" applyFont="1" applyFill="1" applyBorder="1" applyAlignment="1">
      <alignment horizontal="center" vertical="top"/>
    </xf>
    <xf numFmtId="9" fontId="24" fillId="0" borderId="18" xfId="45" applyNumberFormat="1" applyFont="1" applyBorder="1" applyAlignment="1">
      <alignment horizontal="right" vertical="top"/>
    </xf>
    <xf numFmtId="171" fontId="24" fillId="0" borderId="44" xfId="45" applyNumberFormat="1" applyFont="1" applyBorder="1" applyAlignment="1">
      <alignment horizontal="center" vertical="top"/>
    </xf>
    <xf numFmtId="0" fontId="24" fillId="0" borderId="18" xfId="45" applyFont="1" applyBorder="1" applyAlignment="1">
      <alignment horizontal="center" vertical="top"/>
    </xf>
    <xf numFmtId="0" fontId="35" fillId="24" borderId="18" xfId="45" applyFont="1" applyFill="1" applyBorder="1" applyAlignment="1">
      <alignment horizontal="center" vertical="center" wrapText="1"/>
    </xf>
    <xf numFmtId="2" fontId="28" fillId="30" borderId="12" xfId="0" applyNumberFormat="1" applyFont="1" applyFill="1" applyBorder="1" applyAlignment="1">
      <alignment horizontal="center" vertical="top"/>
    </xf>
    <xf numFmtId="2" fontId="28" fillId="30" borderId="0" xfId="0" applyNumberFormat="1" applyFont="1" applyFill="1" applyAlignment="1">
      <alignment horizontal="center" vertical="top"/>
    </xf>
    <xf numFmtId="0" fontId="25" fillId="24" borderId="13" xfId="0" applyFont="1" applyFill="1" applyBorder="1" applyAlignment="1">
      <alignment horizontal="left" vertical="top"/>
    </xf>
    <xf numFmtId="168" fontId="25" fillId="24" borderId="0" xfId="55" applyNumberFormat="1" applyFont="1" applyFill="1" applyBorder="1" applyAlignment="1" applyProtection="1">
      <alignment horizontal="left" vertical="top"/>
    </xf>
    <xf numFmtId="169" fontId="35" fillId="24" borderId="0" xfId="45" applyNumberFormat="1" applyFont="1" applyFill="1" applyBorder="1" applyAlignment="1">
      <alignment vertical="top"/>
    </xf>
    <xf numFmtId="0" fontId="24" fillId="24" borderId="0" xfId="45" applyFont="1" applyFill="1" applyBorder="1" applyAlignment="1">
      <alignment vertical="top"/>
    </xf>
    <xf numFmtId="2" fontId="36" fillId="24" borderId="0" xfId="45" applyNumberFormat="1" applyFont="1" applyFill="1" applyBorder="1" applyAlignment="1">
      <alignment vertical="top"/>
    </xf>
    <xf numFmtId="2" fontId="3" fillId="24" borderId="0" xfId="45" applyNumberFormat="1" applyFont="1" applyFill="1" applyBorder="1" applyAlignment="1">
      <alignment vertical="top"/>
    </xf>
    <xf numFmtId="2" fontId="36" fillId="0" borderId="0" xfId="45" applyNumberFormat="1" applyFont="1" applyFill="1" applyBorder="1" applyAlignment="1">
      <alignment vertical="top"/>
    </xf>
    <xf numFmtId="0" fontId="24" fillId="0" borderId="50" xfId="45" applyFont="1" applyBorder="1" applyAlignment="1">
      <alignment horizontal="center" vertical="top"/>
    </xf>
    <xf numFmtId="0" fontId="24" fillId="24" borderId="43" xfId="45" applyFont="1" applyFill="1" applyBorder="1" applyAlignment="1">
      <alignment horizontal="center" vertical="center"/>
    </xf>
    <xf numFmtId="0" fontId="25" fillId="27" borderId="14" xfId="45" applyFont="1" applyFill="1" applyBorder="1" applyAlignment="1">
      <alignment vertical="top"/>
    </xf>
    <xf numFmtId="0" fontId="25" fillId="27" borderId="15" xfId="45" applyFont="1" applyFill="1" applyBorder="1" applyAlignment="1">
      <alignment horizontal="center" vertical="center"/>
    </xf>
    <xf numFmtId="0" fontId="24" fillId="27" borderId="15" xfId="45" applyFont="1" applyFill="1" applyBorder="1" applyAlignment="1">
      <alignment vertical="top"/>
    </xf>
    <xf numFmtId="0" fontId="43" fillId="30" borderId="22" xfId="0" applyFont="1" applyFill="1" applyBorder="1" applyAlignment="1">
      <alignment horizontal="center" vertical="top" wrapText="1"/>
    </xf>
    <xf numFmtId="1" fontId="43" fillId="30" borderId="22" xfId="0" applyNumberFormat="1" applyFont="1" applyFill="1" applyBorder="1" applyAlignment="1">
      <alignment horizontal="center" vertical="center" wrapText="1"/>
    </xf>
    <xf numFmtId="1" fontId="43" fillId="30" borderId="22" xfId="0" applyNumberFormat="1" applyFont="1" applyFill="1" applyBorder="1" applyAlignment="1">
      <alignment horizontal="center" vertical="top" wrapText="1"/>
    </xf>
    <xf numFmtId="2" fontId="44" fillId="30" borderId="11" xfId="0" applyNumberFormat="1" applyFont="1" applyFill="1" applyBorder="1" applyAlignment="1">
      <alignment horizontal="left" vertical="top"/>
    </xf>
    <xf numFmtId="2" fontId="31" fillId="30" borderId="23" xfId="0" applyNumberFormat="1" applyFont="1" applyFill="1" applyBorder="1" applyAlignment="1">
      <alignment horizontal="left" vertical="center"/>
    </xf>
    <xf numFmtId="2" fontId="44" fillId="30" borderId="12" xfId="0" applyNumberFormat="1" applyFont="1" applyFill="1" applyBorder="1" applyAlignment="1">
      <alignment horizontal="left" vertical="top"/>
    </xf>
    <xf numFmtId="2" fontId="31" fillId="30" borderId="12" xfId="0" applyNumberFormat="1" applyFont="1" applyFill="1" applyBorder="1" applyAlignment="1">
      <alignment horizontal="left" vertical="top"/>
    </xf>
    <xf numFmtId="2" fontId="31" fillId="30" borderId="12" xfId="0" applyNumberFormat="1" applyFont="1" applyFill="1" applyBorder="1" applyAlignment="1">
      <alignment horizontal="center" vertical="top"/>
    </xf>
    <xf numFmtId="2" fontId="44" fillId="30" borderId="13" xfId="0" applyNumberFormat="1" applyFont="1" applyFill="1" applyBorder="1" applyAlignment="1">
      <alignment horizontal="left" vertical="top"/>
    </xf>
    <xf numFmtId="2" fontId="31" fillId="30" borderId="24" xfId="0" applyNumberFormat="1" applyFont="1" applyFill="1" applyBorder="1" applyAlignment="1">
      <alignment horizontal="left" vertical="center"/>
    </xf>
    <xf numFmtId="2" fontId="44" fillId="30" borderId="0" xfId="0" applyNumberFormat="1" applyFont="1" applyFill="1" applyAlignment="1">
      <alignment horizontal="left" vertical="top"/>
    </xf>
    <xf numFmtId="2" fontId="31" fillId="30" borderId="0" xfId="0" applyNumberFormat="1" applyFont="1" applyFill="1" applyAlignment="1">
      <alignment horizontal="left" vertical="top"/>
    </xf>
    <xf numFmtId="2" fontId="31" fillId="30" borderId="0" xfId="0" applyNumberFormat="1" applyFont="1" applyFill="1" applyAlignment="1">
      <alignment horizontal="center" vertical="top"/>
    </xf>
    <xf numFmtId="167" fontId="26" fillId="24" borderId="0" xfId="0" applyNumberFormat="1" applyFont="1" applyFill="1" applyAlignment="1">
      <alignment horizontal="center" vertical="top" wrapText="1"/>
    </xf>
    <xf numFmtId="0" fontId="29" fillId="24" borderId="0" xfId="45" applyFont="1" applyFill="1" applyAlignment="1">
      <alignment vertical="top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35" fillId="24" borderId="18" xfId="45" applyFont="1" applyFill="1" applyBorder="1" applyAlignment="1">
      <alignment horizontal="center" vertical="center" wrapText="1"/>
    </xf>
    <xf numFmtId="2" fontId="24" fillId="0" borderId="38" xfId="45" applyNumberFormat="1" applyFont="1" applyBorder="1" applyAlignment="1">
      <alignment horizontal="left" vertical="center" wrapText="1"/>
    </xf>
    <xf numFmtId="1" fontId="24" fillId="0" borderId="16" xfId="45" applyNumberFormat="1" applyFont="1" applyBorder="1" applyAlignment="1">
      <alignment horizontal="center" vertical="center"/>
    </xf>
    <xf numFmtId="9" fontId="24" fillId="24" borderId="10" xfId="45" applyNumberFormat="1" applyFont="1" applyFill="1" applyBorder="1" applyAlignment="1">
      <alignment horizontal="center" vertical="center"/>
    </xf>
    <xf numFmtId="168" fontId="24" fillId="0" borderId="18" xfId="45" applyNumberFormat="1" applyFont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top"/>
    </xf>
    <xf numFmtId="0" fontId="24" fillId="0" borderId="34" xfId="45" applyFont="1" applyFill="1" applyBorder="1" applyAlignment="1">
      <alignment horizontal="center" vertical="top"/>
    </xf>
    <xf numFmtId="0" fontId="25" fillId="27" borderId="0" xfId="45" applyFont="1" applyFill="1" applyBorder="1" applyAlignment="1">
      <alignment horizontal="left" vertical="top"/>
    </xf>
    <xf numFmtId="0" fontId="24" fillId="27" borderId="0" xfId="45" applyFont="1" applyFill="1" applyBorder="1" applyAlignment="1">
      <alignment vertical="top"/>
    </xf>
    <xf numFmtId="1" fontId="24" fillId="27" borderId="0" xfId="45" applyNumberFormat="1" applyFont="1" applyFill="1" applyBorder="1" applyAlignment="1">
      <alignment horizontal="center" vertical="top"/>
    </xf>
    <xf numFmtId="2" fontId="25" fillId="0" borderId="37" xfId="45" applyNumberFormat="1" applyFont="1" applyBorder="1" applyAlignment="1">
      <alignment horizontal="left" vertical="top" wrapText="1"/>
    </xf>
    <xf numFmtId="0" fontId="29" fillId="0" borderId="1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43" fillId="0" borderId="10" xfId="0" applyFont="1" applyBorder="1" applyAlignment="1">
      <alignment horizontal="left" vertical="center" wrapText="1"/>
    </xf>
    <xf numFmtId="9" fontId="24" fillId="0" borderId="10" xfId="56" applyFont="1" applyFill="1" applyBorder="1" applyAlignment="1" applyProtection="1">
      <alignment horizontal="center" vertical="top"/>
    </xf>
    <xf numFmtId="0" fontId="29" fillId="0" borderId="10" xfId="0" applyFont="1" applyFill="1" applyBorder="1" applyAlignment="1">
      <alignment horizontal="center" vertical="center" wrapText="1"/>
    </xf>
    <xf numFmtId="9" fontId="24" fillId="0" borderId="10" xfId="45" applyNumberFormat="1" applyFont="1" applyFill="1" applyBorder="1" applyAlignment="1">
      <alignment horizontal="center" vertical="top"/>
    </xf>
    <xf numFmtId="9" fontId="24" fillId="0" borderId="10" xfId="56" applyFont="1" applyFill="1" applyBorder="1" applyAlignment="1" applyProtection="1">
      <alignment horizontal="center" vertical="center"/>
    </xf>
    <xf numFmtId="164" fontId="24" fillId="0" borderId="10" xfId="4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38" fillId="24" borderId="10" xfId="45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168" fontId="24" fillId="29" borderId="10" xfId="55" applyNumberFormat="1" applyFont="1" applyFill="1" applyBorder="1" applyAlignment="1" applyProtection="1">
      <alignment horizontal="center" vertical="top"/>
    </xf>
    <xf numFmtId="168" fontId="28" fillId="30" borderId="12" xfId="55" applyNumberFormat="1" applyFont="1" applyFill="1" applyBorder="1" applyAlignment="1">
      <alignment horizontal="center" vertical="top"/>
    </xf>
    <xf numFmtId="168" fontId="28" fillId="30" borderId="12" xfId="0" applyNumberFormat="1" applyFont="1" applyFill="1" applyBorder="1" applyAlignment="1">
      <alignment horizontal="center" vertical="top"/>
    </xf>
    <xf numFmtId="168" fontId="34" fillId="30" borderId="23" xfId="0" applyNumberFormat="1" applyFont="1" applyFill="1" applyBorder="1" applyAlignment="1">
      <alignment horizontal="right" vertical="top"/>
    </xf>
    <xf numFmtId="168" fontId="28" fillId="30" borderId="0" xfId="55" applyNumberFormat="1" applyFont="1" applyFill="1" applyBorder="1" applyAlignment="1">
      <alignment horizontal="center" vertical="top"/>
    </xf>
    <xf numFmtId="168" fontId="28" fillId="30" borderId="0" xfId="0" applyNumberFormat="1" applyFont="1" applyFill="1" applyAlignment="1">
      <alignment horizontal="center" vertical="top"/>
    </xf>
    <xf numFmtId="168" fontId="34" fillId="30" borderId="24" xfId="0" applyNumberFormat="1" applyFont="1" applyFill="1" applyBorder="1" applyAlignment="1">
      <alignment horizontal="right" vertical="top"/>
    </xf>
    <xf numFmtId="168" fontId="24" fillId="24" borderId="12" xfId="45" applyNumberFormat="1" applyFont="1" applyFill="1" applyBorder="1" applyAlignment="1">
      <alignment vertical="top"/>
    </xf>
    <xf numFmtId="168" fontId="25" fillId="24" borderId="12" xfId="45" applyNumberFormat="1" applyFont="1" applyFill="1" applyBorder="1" applyAlignment="1">
      <alignment horizontal="left" vertical="top"/>
    </xf>
    <xf numFmtId="168" fontId="32" fillId="24" borderId="23" xfId="45" applyNumberFormat="1" applyFont="1" applyFill="1" applyBorder="1" applyAlignment="1">
      <alignment horizontal="left" vertical="top"/>
    </xf>
    <xf numFmtId="168" fontId="41" fillId="24" borderId="0" xfId="45" applyNumberFormat="1" applyFont="1" applyFill="1" applyAlignment="1">
      <alignment vertical="top"/>
    </xf>
    <xf numFmtId="168" fontId="25" fillId="24" borderId="0" xfId="45" applyNumberFormat="1" applyFont="1" applyFill="1" applyAlignment="1">
      <alignment horizontal="left" vertical="top"/>
    </xf>
    <xf numFmtId="168" fontId="32" fillId="24" borderId="24" xfId="45" applyNumberFormat="1" applyFont="1" applyFill="1" applyBorder="1" applyAlignment="1">
      <alignment horizontal="left" vertical="top"/>
    </xf>
    <xf numFmtId="168" fontId="33" fillId="24" borderId="0" xfId="45" applyNumberFormat="1" applyFont="1" applyFill="1" applyBorder="1" applyAlignment="1">
      <alignment horizontal="left" vertical="top"/>
    </xf>
    <xf numFmtId="168" fontId="37" fillId="24" borderId="0" xfId="54" applyNumberFormat="1" applyFont="1" applyFill="1" applyBorder="1" applyAlignment="1">
      <alignment horizontal="center" vertical="top"/>
    </xf>
    <xf numFmtId="168" fontId="27" fillId="24" borderId="24" xfId="54" applyNumberFormat="1" applyFill="1" applyBorder="1" applyAlignment="1">
      <alignment horizontal="center" vertical="top"/>
    </xf>
    <xf numFmtId="168" fontId="43" fillId="30" borderId="22" xfId="0" applyNumberFormat="1" applyFont="1" applyFill="1" applyBorder="1" applyAlignment="1">
      <alignment horizontal="center" vertical="top" wrapText="1"/>
    </xf>
    <xf numFmtId="168" fontId="24" fillId="27" borderId="15" xfId="55" applyNumberFormat="1" applyFont="1" applyFill="1" applyBorder="1" applyAlignment="1">
      <alignment vertical="top"/>
    </xf>
    <xf numFmtId="168" fontId="24" fillId="27" borderId="25" xfId="45" applyNumberFormat="1" applyFont="1" applyFill="1" applyBorder="1" applyAlignment="1">
      <alignment vertical="top"/>
    </xf>
    <xf numFmtId="168" fontId="25" fillId="24" borderId="24" xfId="45" applyNumberFormat="1" applyFont="1" applyFill="1" applyBorder="1" applyAlignment="1">
      <alignment horizontal="center" vertical="top"/>
    </xf>
    <xf numFmtId="168" fontId="24" fillId="0" borderId="32" xfId="55" applyNumberFormat="1" applyFont="1" applyFill="1" applyBorder="1" applyAlignment="1">
      <alignment horizontal="center" vertical="top"/>
    </xf>
    <xf numFmtId="168" fontId="25" fillId="0" borderId="0" xfId="45" applyNumberFormat="1" applyFont="1" applyAlignment="1">
      <alignment horizontal="center" vertical="top"/>
    </xf>
    <xf numFmtId="168" fontId="25" fillId="24" borderId="35" xfId="45" applyNumberFormat="1" applyFont="1" applyFill="1" applyBorder="1" applyAlignment="1">
      <alignment horizontal="center" vertical="top"/>
    </xf>
    <xf numFmtId="168" fontId="24" fillId="0" borderId="10" xfId="55" applyNumberFormat="1" applyFont="1" applyFill="1" applyBorder="1" applyAlignment="1">
      <alignment horizontal="center" vertical="top"/>
    </xf>
    <xf numFmtId="168" fontId="25" fillId="0" borderId="18" xfId="45" applyNumberFormat="1" applyFont="1" applyBorder="1" applyAlignment="1">
      <alignment horizontal="center" vertical="top"/>
    </xf>
    <xf numFmtId="168" fontId="24" fillId="0" borderId="10" xfId="55" applyNumberFormat="1" applyFont="1" applyFill="1" applyBorder="1" applyAlignment="1" applyProtection="1">
      <alignment horizontal="center" vertical="top"/>
    </xf>
    <xf numFmtId="168" fontId="24" fillId="24" borderId="10" xfId="55" applyNumberFormat="1" applyFont="1" applyFill="1" applyBorder="1" applyAlignment="1" applyProtection="1">
      <alignment horizontal="center" vertical="top"/>
    </xf>
    <xf numFmtId="168" fontId="24" fillId="0" borderId="10" xfId="55" applyNumberFormat="1" applyFont="1" applyFill="1" applyBorder="1" applyAlignment="1" applyProtection="1">
      <alignment horizontal="center" vertical="center"/>
    </xf>
    <xf numFmtId="168" fontId="25" fillId="24" borderId="35" xfId="45" applyNumberFormat="1" applyFont="1" applyFill="1" applyBorder="1" applyAlignment="1">
      <alignment horizontal="center" vertical="center"/>
    </xf>
    <xf numFmtId="168" fontId="24" fillId="29" borderId="10" xfId="55" applyNumberFormat="1" applyFont="1" applyFill="1" applyBorder="1" applyAlignment="1" applyProtection="1">
      <alignment horizontal="center" vertical="center"/>
    </xf>
    <xf numFmtId="168" fontId="24" fillId="0" borderId="10" xfId="45" applyNumberFormat="1" applyFont="1" applyBorder="1" applyAlignment="1">
      <alignment horizontal="center" vertical="top"/>
    </xf>
    <xf numFmtId="168" fontId="24" fillId="27" borderId="19" xfId="55" applyNumberFormat="1" applyFont="1" applyFill="1" applyBorder="1" applyAlignment="1">
      <alignment vertical="top"/>
    </xf>
    <xf numFmtId="168" fontId="24" fillId="27" borderId="30" xfId="45" applyNumberFormat="1" applyFont="1" applyFill="1" applyBorder="1" applyAlignment="1">
      <alignment vertical="top"/>
    </xf>
    <xf numFmtId="168" fontId="24" fillId="0" borderId="24" xfId="45" applyNumberFormat="1" applyFont="1" applyBorder="1" applyAlignment="1">
      <alignment vertical="top"/>
    </xf>
    <xf numFmtId="168" fontId="24" fillId="0" borderId="17" xfId="55" applyNumberFormat="1" applyFont="1" applyFill="1" applyBorder="1" applyAlignment="1">
      <alignment horizontal="center" vertical="top"/>
    </xf>
    <xf numFmtId="168" fontId="24" fillId="0" borderId="41" xfId="45" applyNumberFormat="1" applyFont="1" applyBorder="1" applyAlignment="1">
      <alignment vertical="top"/>
    </xf>
    <xf numFmtId="168" fontId="29" fillId="24" borderId="24" xfId="45" applyNumberFormat="1" applyFont="1" applyFill="1" applyBorder="1" applyAlignment="1">
      <alignment vertical="top"/>
    </xf>
    <xf numFmtId="168" fontId="24" fillId="26" borderId="27" xfId="55" applyNumberFormat="1" applyFont="1" applyFill="1" applyBorder="1" applyAlignment="1">
      <alignment horizontal="center" vertical="top"/>
    </xf>
    <xf numFmtId="168" fontId="28" fillId="31" borderId="19" xfId="55" applyNumberFormat="1" applyFont="1" applyFill="1" applyBorder="1" applyAlignment="1">
      <alignment horizontal="center" vertical="top"/>
    </xf>
    <xf numFmtId="168" fontId="24" fillId="0" borderId="0" xfId="45" applyNumberFormat="1" applyFont="1" applyAlignment="1">
      <alignment vertical="top"/>
    </xf>
    <xf numFmtId="168" fontId="24" fillId="0" borderId="15" xfId="45" applyNumberFormat="1" applyFont="1" applyBorder="1" applyAlignment="1">
      <alignment vertical="top"/>
    </xf>
    <xf numFmtId="168" fontId="24" fillId="0" borderId="25" xfId="45" applyNumberFormat="1" applyFont="1" applyBorder="1" applyAlignment="1">
      <alignment vertical="top"/>
    </xf>
    <xf numFmtId="168" fontId="24" fillId="24" borderId="0" xfId="55" applyNumberFormat="1" applyFont="1" applyFill="1" applyBorder="1" applyAlignment="1">
      <alignment horizontal="center" vertical="top"/>
    </xf>
    <xf numFmtId="168" fontId="24" fillId="24" borderId="0" xfId="45" applyNumberFormat="1" applyFont="1" applyFill="1" applyAlignment="1">
      <alignment vertical="top"/>
    </xf>
    <xf numFmtId="168" fontId="24" fillId="0" borderId="0" xfId="55" applyNumberFormat="1" applyFont="1" applyBorder="1" applyAlignment="1">
      <alignment horizontal="center" vertical="top"/>
    </xf>
    <xf numFmtId="9" fontId="24" fillId="30" borderId="27" xfId="57" applyFont="1" applyFill="1" applyBorder="1" applyAlignment="1">
      <alignment horizontal="center" vertical="top"/>
    </xf>
    <xf numFmtId="2" fontId="25" fillId="26" borderId="29" xfId="45" applyNumberFormat="1" applyFont="1" applyFill="1" applyBorder="1" applyAlignment="1">
      <alignment horizontal="left" vertical="top" wrapText="1"/>
    </xf>
    <xf numFmtId="2" fontId="25" fillId="26" borderId="19" xfId="45" applyNumberFormat="1" applyFont="1" applyFill="1" applyBorder="1" applyAlignment="1">
      <alignment horizontal="left" vertical="top" wrapText="1"/>
    </xf>
    <xf numFmtId="2" fontId="25" fillId="26" borderId="30" xfId="45" applyNumberFormat="1" applyFont="1" applyFill="1" applyBorder="1" applyAlignment="1">
      <alignment horizontal="left" vertical="top" wrapText="1"/>
    </xf>
    <xf numFmtId="0" fontId="24" fillId="24" borderId="45" xfId="45" applyFont="1" applyFill="1" applyBorder="1" applyAlignment="1">
      <alignment horizontal="center" vertical="top" wrapText="1"/>
    </xf>
    <xf numFmtId="0" fontId="24" fillId="24" borderId="46" xfId="45" applyFont="1" applyFill="1" applyBorder="1" applyAlignment="1">
      <alignment horizontal="center" vertical="top" wrapText="1"/>
    </xf>
    <xf numFmtId="0" fontId="24" fillId="24" borderId="47" xfId="45" applyFont="1" applyFill="1" applyBorder="1" applyAlignment="1">
      <alignment horizontal="center" vertical="top" wrapText="1"/>
    </xf>
    <xf numFmtId="0" fontId="24" fillId="24" borderId="31" xfId="45" applyFont="1" applyFill="1" applyBorder="1" applyAlignment="1">
      <alignment horizontal="center" vertical="top" wrapText="1"/>
    </xf>
    <xf numFmtId="0" fontId="24" fillId="24" borderId="43" xfId="45" applyFont="1" applyFill="1" applyBorder="1" applyAlignment="1">
      <alignment horizontal="center" vertical="top" wrapText="1"/>
    </xf>
    <xf numFmtId="0" fontId="24" fillId="24" borderId="36" xfId="45" applyFont="1" applyFill="1" applyBorder="1" applyAlignment="1">
      <alignment horizontal="center" vertical="top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168" fontId="24" fillId="0" borderId="45" xfId="55" applyNumberFormat="1" applyFont="1" applyFill="1" applyBorder="1" applyAlignment="1" applyProtection="1">
      <alignment horizontal="center" vertical="top"/>
    </xf>
    <xf numFmtId="168" fontId="24" fillId="0" borderId="33" xfId="55" applyNumberFormat="1" applyFont="1" applyFill="1" applyBorder="1" applyAlignment="1" applyProtection="1">
      <alignment horizontal="center" vertical="top"/>
    </xf>
    <xf numFmtId="168" fontId="24" fillId="0" borderId="48" xfId="55" applyNumberFormat="1" applyFont="1" applyFill="1" applyBorder="1" applyAlignment="1" applyProtection="1">
      <alignment horizontal="center" vertical="top"/>
    </xf>
    <xf numFmtId="168" fontId="24" fillId="0" borderId="47" xfId="55" applyNumberFormat="1" applyFont="1" applyFill="1" applyBorder="1" applyAlignment="1" applyProtection="1">
      <alignment horizontal="center" vertical="top"/>
    </xf>
    <xf numFmtId="168" fontId="24" fillId="0" borderId="0" xfId="55" applyNumberFormat="1" applyFont="1" applyFill="1" applyBorder="1" applyAlignment="1" applyProtection="1">
      <alignment horizontal="center" vertical="top"/>
    </xf>
    <xf numFmtId="168" fontId="24" fillId="0" borderId="24" xfId="55" applyNumberFormat="1" applyFont="1" applyFill="1" applyBorder="1" applyAlignment="1" applyProtection="1">
      <alignment horizontal="center" vertical="top"/>
    </xf>
    <xf numFmtId="168" fontId="24" fillId="0" borderId="43" xfId="55" applyNumberFormat="1" applyFont="1" applyFill="1" applyBorder="1" applyAlignment="1" applyProtection="1">
      <alignment horizontal="center" vertical="top"/>
    </xf>
    <xf numFmtId="168" fontId="24" fillId="0" borderId="39" xfId="55" applyNumberFormat="1" applyFont="1" applyFill="1" applyBorder="1" applyAlignment="1" applyProtection="1">
      <alignment horizontal="center" vertical="top"/>
    </xf>
    <xf numFmtId="168" fontId="24" fillId="0" borderId="49" xfId="55" applyNumberFormat="1" applyFont="1" applyFill="1" applyBorder="1" applyAlignment="1" applyProtection="1">
      <alignment horizontal="center" vertical="top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Currency 3" xfId="55" xr:uid="{00000000-0005-0000-0000-00001E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54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A000000}"/>
    <cellStyle name="Normal 2 2" xfId="47" xr:uid="{00000000-0005-0000-0000-00002B000000}"/>
    <cellStyle name="Normal 2 3" xfId="45" xr:uid="{00000000-0005-0000-0000-00002C000000}"/>
    <cellStyle name="Normal 2 3 2" xfId="52" xr:uid="{00000000-0005-0000-0000-00002D000000}"/>
    <cellStyle name="Normal 3" xfId="37" xr:uid="{00000000-0005-0000-0000-00002E000000}"/>
    <cellStyle name="Normal 4" xfId="43" xr:uid="{00000000-0005-0000-0000-00002F000000}"/>
    <cellStyle name="Normal 4 2" xfId="53" xr:uid="{00000000-0005-0000-0000-000030000000}"/>
    <cellStyle name="Normal 4 3" xfId="51" xr:uid="{00000000-0005-0000-0000-000031000000}"/>
    <cellStyle name="Normal 5" xfId="49" xr:uid="{00000000-0005-0000-0000-000032000000}"/>
    <cellStyle name="Note" xfId="38" builtinId="10" customBuiltin="1"/>
    <cellStyle name="Output" xfId="39" builtinId="21" customBuiltin="1"/>
    <cellStyle name="Percent" xfId="57" builtinId="5"/>
    <cellStyle name="Percent 2" xfId="56" xr:uid="{00000000-0005-0000-0000-000035000000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ED2DC"/>
      <color rgb="FFF50101"/>
      <color rgb="FFF55D61"/>
      <color rgb="FFD5D5D5"/>
      <color rgb="FFB94517"/>
      <color rgb="FFFE9494"/>
      <color rgb="FFF3F3F3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592"/>
  <sheetViews>
    <sheetView tabSelected="1" view="pageBreakPreview" zoomScale="70" zoomScaleNormal="70" zoomScaleSheetLayoutView="70" workbookViewId="0">
      <selection activeCell="C2" sqref="C2"/>
    </sheetView>
  </sheetViews>
  <sheetFormatPr defaultColWidth="9.6640625" defaultRowHeight="15" x14ac:dyDescent="0.15"/>
  <cols>
    <col min="1" max="1" width="7.19140625" style="92" customWidth="1"/>
    <col min="2" max="2" width="12.80859375" style="119" bestFit="1" customWidth="1"/>
    <col min="3" max="3" width="13.37109375" style="93" customWidth="1"/>
    <col min="4" max="4" width="10.44921875" style="93" bestFit="1" customWidth="1"/>
    <col min="5" max="5" width="43.82421875" style="94" customWidth="1"/>
    <col min="6" max="6" width="7.078125" style="103" customWidth="1"/>
    <col min="7" max="7" width="8.42578125" style="95" customWidth="1"/>
    <col min="8" max="8" width="8.08984375" style="96" customWidth="1"/>
    <col min="9" max="9" width="8.3125" style="96" bestFit="1" customWidth="1"/>
    <col min="10" max="11" width="9.32421875" style="238" customWidth="1"/>
    <col min="12" max="13" width="11.57421875" style="238" bestFit="1" customWidth="1"/>
    <col min="14" max="14" width="11.4609375" style="233" customWidth="1"/>
    <col min="15" max="15" width="11.68359375" style="237" customWidth="1"/>
    <col min="16" max="16" width="8.875" style="19" customWidth="1"/>
    <col min="17" max="17" width="10.78515625" style="19" bestFit="1" customWidth="1"/>
    <col min="18" max="16384" width="9.6640625" style="19"/>
  </cols>
  <sheetData>
    <row r="1" spans="1:100" s="7" customFormat="1" ht="15.75" thickBot="1" x14ac:dyDescent="0.2">
      <c r="A1" s="154" t="s">
        <v>19</v>
      </c>
      <c r="B1" s="155"/>
      <c r="C1" s="156"/>
      <c r="D1" s="157"/>
      <c r="E1" s="158"/>
      <c r="F1" s="137"/>
      <c r="G1" s="137"/>
      <c r="H1" s="137"/>
      <c r="I1" s="137"/>
      <c r="J1" s="195"/>
      <c r="K1" s="195"/>
      <c r="L1" s="195"/>
      <c r="M1" s="195"/>
      <c r="N1" s="196"/>
      <c r="O1" s="197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00" s="7" customFormat="1" ht="15.75" thickBot="1" x14ac:dyDescent="0.2">
      <c r="A2" s="159" t="s">
        <v>20</v>
      </c>
      <c r="B2" s="160"/>
      <c r="C2" s="161"/>
      <c r="D2" s="162"/>
      <c r="E2" s="163"/>
      <c r="F2" s="138"/>
      <c r="G2" s="138"/>
      <c r="H2" s="138"/>
      <c r="I2" s="138"/>
      <c r="J2" s="198"/>
      <c r="K2" s="198"/>
      <c r="L2" s="198"/>
      <c r="M2" s="198"/>
      <c r="N2" s="199"/>
      <c r="O2" s="200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00" x14ac:dyDescent="0.15">
      <c r="A3" s="26" t="s">
        <v>21</v>
      </c>
      <c r="B3" s="110"/>
      <c r="C3" s="27"/>
      <c r="D3" s="27"/>
      <c r="E3" s="28"/>
      <c r="F3" s="97"/>
      <c r="G3" s="29"/>
      <c r="H3" s="28"/>
      <c r="I3" s="28"/>
      <c r="J3" s="201"/>
      <c r="K3" s="201"/>
      <c r="L3" s="201"/>
      <c r="M3" s="201"/>
      <c r="N3" s="202"/>
      <c r="O3" s="203"/>
      <c r="P3" s="24"/>
    </row>
    <row r="4" spans="1:100" x14ac:dyDescent="0.15">
      <c r="A4" s="1" t="s">
        <v>22</v>
      </c>
      <c r="B4" s="111"/>
      <c r="C4" s="30"/>
      <c r="D4" s="30"/>
      <c r="E4" s="31"/>
      <c r="F4" s="24"/>
      <c r="G4" s="24"/>
      <c r="H4" s="31"/>
      <c r="I4" s="31"/>
      <c r="J4" s="204"/>
      <c r="K4" s="204"/>
      <c r="L4" s="204"/>
      <c r="M4" s="204"/>
      <c r="N4" s="205"/>
      <c r="O4" s="206"/>
      <c r="P4" s="24"/>
    </row>
    <row r="5" spans="1:100" ht="15.75" thickBot="1" x14ac:dyDescent="0.2">
      <c r="A5" s="139" t="s">
        <v>30</v>
      </c>
      <c r="B5" s="111"/>
      <c r="C5" s="140">
        <f>N$582</f>
        <v>7306332.7922398774</v>
      </c>
      <c r="D5" s="140"/>
      <c r="E5" s="141"/>
      <c r="F5" s="145"/>
      <c r="G5" s="142"/>
      <c r="H5" s="143"/>
      <c r="I5" s="144"/>
      <c r="J5" s="207"/>
      <c r="K5" s="207"/>
      <c r="L5" s="207"/>
      <c r="M5" s="207"/>
      <c r="N5" s="208"/>
      <c r="O5" s="209"/>
      <c r="P5" s="24"/>
    </row>
    <row r="6" spans="1:100" s="34" customFormat="1" ht="30.75" thickBot="1" x14ac:dyDescent="0.25">
      <c r="A6" s="151" t="s">
        <v>6</v>
      </c>
      <c r="B6" s="152" t="s">
        <v>9</v>
      </c>
      <c r="C6" s="153" t="s">
        <v>10</v>
      </c>
      <c r="D6" s="153" t="s">
        <v>11</v>
      </c>
      <c r="E6" s="153" t="s">
        <v>1</v>
      </c>
      <c r="F6" s="153" t="s">
        <v>0</v>
      </c>
      <c r="G6" s="153" t="s">
        <v>14</v>
      </c>
      <c r="H6" s="153" t="s">
        <v>3</v>
      </c>
      <c r="I6" s="153" t="s">
        <v>4</v>
      </c>
      <c r="J6" s="210" t="s">
        <v>34</v>
      </c>
      <c r="K6" s="210" t="s">
        <v>35</v>
      </c>
      <c r="L6" s="210" t="s">
        <v>36</v>
      </c>
      <c r="M6" s="210" t="s">
        <v>37</v>
      </c>
      <c r="N6" s="210" t="s">
        <v>5</v>
      </c>
      <c r="O6" s="210" t="s">
        <v>7</v>
      </c>
      <c r="P6" s="164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  <c r="AC6" s="33"/>
      <c r="AD6" s="33"/>
      <c r="AE6" s="33"/>
    </row>
    <row r="7" spans="1:100" s="41" customFormat="1" ht="15.75" thickBot="1" x14ac:dyDescent="0.2">
      <c r="A7" s="146" t="str">
        <f>IF(G7&lt;&gt;"",1+MAX($A$6:A6),"")</f>
        <v/>
      </c>
      <c r="B7" s="147"/>
      <c r="C7" s="148"/>
      <c r="D7" s="149" t="s">
        <v>23</v>
      </c>
      <c r="E7" s="175" t="s">
        <v>24</v>
      </c>
      <c r="F7" s="176"/>
      <c r="G7" s="177"/>
      <c r="H7" s="150"/>
      <c r="I7" s="150"/>
      <c r="J7" s="211"/>
      <c r="K7" s="211"/>
      <c r="L7" s="211"/>
      <c r="M7" s="211"/>
      <c r="N7" s="212"/>
      <c r="O7" s="213"/>
      <c r="P7" s="165"/>
    </row>
    <row r="8" spans="1:100" ht="15.75" thickBot="1" x14ac:dyDescent="0.2">
      <c r="A8" s="35" t="str">
        <f>IF(G8&lt;&gt;"",1+MAX($A$6:A7),"")</f>
        <v/>
      </c>
      <c r="B8" s="104"/>
      <c r="C8" s="42"/>
      <c r="D8" s="43"/>
      <c r="E8" s="240" t="s">
        <v>102</v>
      </c>
      <c r="F8" s="241"/>
      <c r="G8" s="242"/>
      <c r="H8" s="44"/>
      <c r="I8" s="45"/>
      <c r="J8" s="214"/>
      <c r="K8" s="214"/>
      <c r="L8" s="214"/>
      <c r="M8" s="214"/>
      <c r="N8" s="215"/>
      <c r="O8" s="216"/>
      <c r="P8" s="24"/>
    </row>
    <row r="9" spans="1:100" ht="75" thickBot="1" x14ac:dyDescent="0.25">
      <c r="A9" s="35" t="str">
        <f>IF(G9&lt;&gt;"",1+MAX($A$6:A8),"")</f>
        <v/>
      </c>
      <c r="B9" s="104"/>
      <c r="C9" s="15"/>
      <c r="D9" s="15"/>
      <c r="E9" s="178" t="s">
        <v>103</v>
      </c>
      <c r="F9" s="173"/>
      <c r="G9" s="46"/>
      <c r="H9" s="17"/>
      <c r="I9" s="18"/>
      <c r="J9" s="217"/>
      <c r="K9" s="217"/>
      <c r="L9" s="217"/>
      <c r="M9" s="217"/>
      <c r="N9" s="218"/>
      <c r="O9" s="216"/>
    </row>
    <row r="10" spans="1:100" x14ac:dyDescent="0.15">
      <c r="A10" s="35">
        <f>IF(G10&lt;&gt;"",1+MAX($A$6:A9),"")</f>
        <v>1</v>
      </c>
      <c r="B10" s="104" t="s">
        <v>85</v>
      </c>
      <c r="C10" s="15"/>
      <c r="D10" s="14"/>
      <c r="E10" s="47" t="s">
        <v>25</v>
      </c>
      <c r="F10" s="99" t="s">
        <v>13</v>
      </c>
      <c r="G10" s="48">
        <f>(6*6*1.25/27)</f>
        <v>1.6666666666666667</v>
      </c>
      <c r="H10" s="8">
        <v>7.0000000000000007E-2</v>
      </c>
      <c r="I10" s="18">
        <f t="shared" ref="I10:I14" si="0">G10*(1+H10)</f>
        <v>1.7833333333333334</v>
      </c>
      <c r="J10" s="194">
        <v>600</v>
      </c>
      <c r="K10" s="194">
        <v>300</v>
      </c>
      <c r="L10" s="219">
        <f>J10*I10</f>
        <v>1070</v>
      </c>
      <c r="M10" s="219">
        <f>K10*I10</f>
        <v>535</v>
      </c>
      <c r="N10" s="20">
        <f t="shared" ref="N10:N14" si="1">L10+M10</f>
        <v>1605</v>
      </c>
      <c r="O10" s="216"/>
    </row>
    <row r="11" spans="1:100" x14ac:dyDescent="0.15">
      <c r="A11" s="35">
        <f>IF(G11&lt;&gt;"",1+MAX($A$6:A10),"")</f>
        <v>2</v>
      </c>
      <c r="B11" s="104" t="s">
        <v>85</v>
      </c>
      <c r="C11" s="15"/>
      <c r="D11" s="14"/>
      <c r="E11" s="21" t="s">
        <v>104</v>
      </c>
      <c r="F11" s="99" t="s">
        <v>32</v>
      </c>
      <c r="G11" s="13">
        <f>14*5.5*1.502</f>
        <v>115.654</v>
      </c>
      <c r="H11" s="8">
        <v>7.0000000000000007E-2</v>
      </c>
      <c r="I11" s="18">
        <f t="shared" si="0"/>
        <v>123.74978</v>
      </c>
      <c r="J11" s="194">
        <v>4</v>
      </c>
      <c r="K11" s="194">
        <v>3</v>
      </c>
      <c r="L11" s="219">
        <f>J11*I11</f>
        <v>494.99912</v>
      </c>
      <c r="M11" s="219">
        <f>K11*I11</f>
        <v>371.24934000000002</v>
      </c>
      <c r="N11" s="20">
        <f t="shared" si="1"/>
        <v>866.24846000000002</v>
      </c>
      <c r="O11" s="216"/>
      <c r="P11" s="49"/>
    </row>
    <row r="12" spans="1:100" x14ac:dyDescent="0.15">
      <c r="A12" s="35">
        <f>IF(G12&lt;&gt;"",1+MAX($A$6:A11),"")</f>
        <v>3</v>
      </c>
      <c r="B12" s="104" t="s">
        <v>85</v>
      </c>
      <c r="C12" s="15"/>
      <c r="D12" s="14"/>
      <c r="E12" s="21" t="s">
        <v>15</v>
      </c>
      <c r="F12" s="99" t="s">
        <v>16</v>
      </c>
      <c r="G12" s="48">
        <f>6*4*1.25</f>
        <v>30</v>
      </c>
      <c r="H12" s="50">
        <v>7.0000000000000007E-2</v>
      </c>
      <c r="I12" s="18">
        <f t="shared" si="0"/>
        <v>32.1</v>
      </c>
      <c r="J12" s="194">
        <v>2</v>
      </c>
      <c r="K12" s="194">
        <v>2</v>
      </c>
      <c r="L12" s="219">
        <f>J12*I12</f>
        <v>64.2</v>
      </c>
      <c r="M12" s="219">
        <f>K12*I12</f>
        <v>64.2</v>
      </c>
      <c r="N12" s="20">
        <f t="shared" si="1"/>
        <v>128.4</v>
      </c>
      <c r="O12" s="216"/>
    </row>
    <row r="13" spans="1:100" x14ac:dyDescent="0.15">
      <c r="A13" s="35">
        <f>IF(G13&lt;&gt;"",1+MAX($A$6:A12),"")</f>
        <v>4</v>
      </c>
      <c r="B13" s="104" t="s">
        <v>85</v>
      </c>
      <c r="C13" s="15"/>
      <c r="D13" s="14"/>
      <c r="E13" s="21" t="s">
        <v>18</v>
      </c>
      <c r="F13" s="99" t="s">
        <v>13</v>
      </c>
      <c r="G13" s="48">
        <f>6.5*6.5*1.25/27</f>
        <v>1.9560185185185186</v>
      </c>
      <c r="H13" s="50">
        <v>7.0000000000000007E-2</v>
      </c>
      <c r="I13" s="18">
        <f t="shared" si="0"/>
        <v>2.0929398148148151</v>
      </c>
      <c r="J13" s="194">
        <v>0</v>
      </c>
      <c r="K13" s="194">
        <v>35</v>
      </c>
      <c r="L13" s="219">
        <f>J13*I13</f>
        <v>0</v>
      </c>
      <c r="M13" s="219">
        <f>K13*I13</f>
        <v>73.252893518518533</v>
      </c>
      <c r="N13" s="20">
        <f t="shared" si="1"/>
        <v>73.252893518518533</v>
      </c>
      <c r="O13" s="216"/>
    </row>
    <row r="14" spans="1:100" x14ac:dyDescent="0.15">
      <c r="A14" s="35">
        <f>IF(G14&lt;&gt;"",1+MAX($A$6:A13),"")</f>
        <v>5</v>
      </c>
      <c r="B14" s="104" t="s">
        <v>85</v>
      </c>
      <c r="C14" s="15"/>
      <c r="D14" s="14"/>
      <c r="E14" s="21" t="s">
        <v>17</v>
      </c>
      <c r="F14" s="99" t="s">
        <v>13</v>
      </c>
      <c r="G14" s="48">
        <f>G13-G10</f>
        <v>0.28935185185185186</v>
      </c>
      <c r="H14" s="50">
        <v>7.0000000000000007E-2</v>
      </c>
      <c r="I14" s="53">
        <f t="shared" si="0"/>
        <v>0.30960648148148151</v>
      </c>
      <c r="J14" s="194">
        <v>0</v>
      </c>
      <c r="K14" s="194">
        <v>35</v>
      </c>
      <c r="L14" s="219">
        <f>J14*I14</f>
        <v>0</v>
      </c>
      <c r="M14" s="219">
        <f>K14*I14</f>
        <v>10.836226851851853</v>
      </c>
      <c r="N14" s="20">
        <f t="shared" si="1"/>
        <v>10.836226851851853</v>
      </c>
      <c r="O14" s="216"/>
    </row>
    <row r="15" spans="1:100" ht="15.75" thickBot="1" x14ac:dyDescent="0.2">
      <c r="A15" s="35" t="str">
        <f>IF(G15&lt;&gt;"",1+MAX($A$6:A14),"")</f>
        <v/>
      </c>
      <c r="B15" s="104"/>
      <c r="C15" s="15"/>
      <c r="D15" s="14"/>
      <c r="E15" s="51"/>
      <c r="F15" s="99"/>
      <c r="G15" s="13"/>
      <c r="H15" s="50"/>
      <c r="I15" s="11"/>
      <c r="J15" s="220"/>
      <c r="K15" s="220"/>
      <c r="L15" s="220"/>
      <c r="M15" s="220"/>
      <c r="N15" s="20"/>
      <c r="O15" s="216"/>
    </row>
    <row r="16" spans="1:100" ht="75" thickBot="1" x14ac:dyDescent="0.25">
      <c r="A16" s="35" t="str">
        <f>IF(G16&lt;&gt;"",1+MAX($A$6:A15),"")</f>
        <v/>
      </c>
      <c r="B16" s="104"/>
      <c r="C16" s="15"/>
      <c r="D16" s="15"/>
      <c r="E16" s="16" t="s">
        <v>105</v>
      </c>
      <c r="F16" s="99"/>
      <c r="G16" s="46"/>
      <c r="H16" s="17"/>
      <c r="I16" s="18"/>
      <c r="J16" s="217"/>
      <c r="K16" s="217"/>
      <c r="L16" s="217"/>
      <c r="M16" s="217"/>
      <c r="N16" s="218"/>
      <c r="O16" s="216"/>
    </row>
    <row r="17" spans="1:17" x14ac:dyDescent="0.15">
      <c r="A17" s="35">
        <f>IF(G17&lt;&gt;"",1+MAX($A$6:A16),"")</f>
        <v>6</v>
      </c>
      <c r="B17" s="104" t="s">
        <v>85</v>
      </c>
      <c r="C17" s="15"/>
      <c r="D17" s="14"/>
      <c r="E17" s="47" t="s">
        <v>25</v>
      </c>
      <c r="F17" s="99" t="s">
        <v>13</v>
      </c>
      <c r="G17" s="48">
        <f>(7*7*1.5/27)*7</f>
        <v>19.055555555555557</v>
      </c>
      <c r="H17" s="8">
        <v>7.0000000000000007E-2</v>
      </c>
      <c r="I17" s="18">
        <f t="shared" ref="I17:I21" si="2">G17*(1+H17)</f>
        <v>20.389444444444447</v>
      </c>
      <c r="J17" s="194">
        <v>600</v>
      </c>
      <c r="K17" s="194">
        <v>300</v>
      </c>
      <c r="L17" s="219">
        <f>J17*I17</f>
        <v>12233.666666666668</v>
      </c>
      <c r="M17" s="219">
        <f>K17*I17</f>
        <v>6116.8333333333339</v>
      </c>
      <c r="N17" s="20">
        <f t="shared" ref="N17:N21" si="3">L17+M17</f>
        <v>18350.5</v>
      </c>
      <c r="O17" s="216"/>
    </row>
    <row r="18" spans="1:17" x14ac:dyDescent="0.15">
      <c r="A18" s="35">
        <f>IF(G18&lt;&gt;"",1+MAX($A$6:A17),"")</f>
        <v>7</v>
      </c>
      <c r="B18" s="104" t="s">
        <v>85</v>
      </c>
      <c r="C18" s="15"/>
      <c r="D18" s="14"/>
      <c r="E18" s="21" t="s">
        <v>106</v>
      </c>
      <c r="F18" s="99" t="s">
        <v>32</v>
      </c>
      <c r="G18" s="13">
        <f>16*6.5*1.502*7</f>
        <v>1093.4559999999999</v>
      </c>
      <c r="H18" s="8">
        <v>7.0000000000000007E-2</v>
      </c>
      <c r="I18" s="18">
        <f t="shared" si="2"/>
        <v>1169.99792</v>
      </c>
      <c r="J18" s="194">
        <v>4</v>
      </c>
      <c r="K18" s="194">
        <v>3</v>
      </c>
      <c r="L18" s="219">
        <f>J18*I18</f>
        <v>4679.9916800000001</v>
      </c>
      <c r="M18" s="219">
        <f>K18*I18</f>
        <v>3509.9937600000003</v>
      </c>
      <c r="N18" s="20">
        <f t="shared" si="3"/>
        <v>8189.9854400000004</v>
      </c>
      <c r="O18" s="216"/>
      <c r="Q18" s="52"/>
    </row>
    <row r="19" spans="1:17" x14ac:dyDescent="0.15">
      <c r="A19" s="35">
        <f>IF(G19&lt;&gt;"",1+MAX($A$6:A18),"")</f>
        <v>8</v>
      </c>
      <c r="B19" s="104" t="s">
        <v>85</v>
      </c>
      <c r="C19" s="15"/>
      <c r="D19" s="14"/>
      <c r="E19" s="21" t="s">
        <v>15</v>
      </c>
      <c r="F19" s="99" t="s">
        <v>16</v>
      </c>
      <c r="G19" s="48">
        <f>7*4*1.5*7</f>
        <v>294</v>
      </c>
      <c r="H19" s="8">
        <v>7.0000000000000007E-2</v>
      </c>
      <c r="I19" s="18">
        <f t="shared" si="2"/>
        <v>314.58000000000004</v>
      </c>
      <c r="J19" s="194">
        <v>2</v>
      </c>
      <c r="K19" s="194">
        <v>2</v>
      </c>
      <c r="L19" s="219">
        <f>J19*I19</f>
        <v>629.16000000000008</v>
      </c>
      <c r="M19" s="219">
        <f>K19*I19</f>
        <v>629.16000000000008</v>
      </c>
      <c r="N19" s="20">
        <f t="shared" si="3"/>
        <v>1258.3200000000002</v>
      </c>
      <c r="O19" s="216"/>
    </row>
    <row r="20" spans="1:17" x14ac:dyDescent="0.15">
      <c r="A20" s="35">
        <f>IF(G20&lt;&gt;"",1+MAX($A$6:A19),"")</f>
        <v>9</v>
      </c>
      <c r="B20" s="104" t="s">
        <v>85</v>
      </c>
      <c r="C20" s="15"/>
      <c r="D20" s="14"/>
      <c r="E20" s="21" t="s">
        <v>18</v>
      </c>
      <c r="F20" s="99" t="s">
        <v>13</v>
      </c>
      <c r="G20" s="48">
        <f>7.5*7.5*1.5/27*7</f>
        <v>21.875</v>
      </c>
      <c r="H20" s="50">
        <v>7.0000000000000007E-2</v>
      </c>
      <c r="I20" s="18">
        <f t="shared" si="2"/>
        <v>23.40625</v>
      </c>
      <c r="J20" s="194">
        <v>0</v>
      </c>
      <c r="K20" s="194">
        <v>35</v>
      </c>
      <c r="L20" s="219">
        <f>J20*I20</f>
        <v>0</v>
      </c>
      <c r="M20" s="219">
        <f>K20*I20</f>
        <v>819.21875</v>
      </c>
      <c r="N20" s="20">
        <f t="shared" si="3"/>
        <v>819.21875</v>
      </c>
      <c r="O20" s="216"/>
    </row>
    <row r="21" spans="1:17" x14ac:dyDescent="0.15">
      <c r="A21" s="35">
        <f>IF(G21&lt;&gt;"",1+MAX($A$6:A20),"")</f>
        <v>10</v>
      </c>
      <c r="B21" s="104" t="s">
        <v>85</v>
      </c>
      <c r="C21" s="15"/>
      <c r="D21" s="14"/>
      <c r="E21" s="21" t="s">
        <v>17</v>
      </c>
      <c r="F21" s="99" t="s">
        <v>13</v>
      </c>
      <c r="G21" s="48">
        <f>G20-G17</f>
        <v>2.8194444444444429</v>
      </c>
      <c r="H21" s="50">
        <v>7.0000000000000007E-2</v>
      </c>
      <c r="I21" s="53">
        <f t="shared" si="2"/>
        <v>3.0168055555555542</v>
      </c>
      <c r="J21" s="194">
        <v>0</v>
      </c>
      <c r="K21" s="194">
        <v>35</v>
      </c>
      <c r="L21" s="219">
        <f>J21*I21</f>
        <v>0</v>
      </c>
      <c r="M21" s="219">
        <f>K21*I21</f>
        <v>105.5881944444444</v>
      </c>
      <c r="N21" s="20">
        <f t="shared" si="3"/>
        <v>105.5881944444444</v>
      </c>
      <c r="O21" s="216"/>
    </row>
    <row r="22" spans="1:17" ht="15.75" thickBot="1" x14ac:dyDescent="0.2">
      <c r="A22" s="35" t="str">
        <f>IF(G22&lt;&gt;"",1+MAX($A$6:A21),"")</f>
        <v/>
      </c>
      <c r="B22" s="104"/>
      <c r="C22" s="15"/>
      <c r="D22" s="14"/>
      <c r="E22" s="54"/>
      <c r="F22" s="99"/>
      <c r="G22" s="48"/>
      <c r="H22" s="50"/>
      <c r="I22" s="11"/>
      <c r="J22" s="220"/>
      <c r="K22" s="220"/>
      <c r="L22" s="220"/>
      <c r="M22" s="220"/>
      <c r="N22" s="20"/>
      <c r="O22" s="216"/>
    </row>
    <row r="23" spans="1:17" ht="75" thickBot="1" x14ac:dyDescent="0.25">
      <c r="A23" s="35" t="str">
        <f>IF(G23&lt;&gt;"",1+MAX($A$6:A22),"")</f>
        <v/>
      </c>
      <c r="B23" s="104"/>
      <c r="C23" s="15"/>
      <c r="D23" s="15"/>
      <c r="E23" s="16" t="s">
        <v>107</v>
      </c>
      <c r="F23" s="99"/>
      <c r="G23" s="46"/>
      <c r="H23" s="17"/>
      <c r="I23" s="18"/>
      <c r="J23" s="217"/>
      <c r="K23" s="217"/>
      <c r="L23" s="217"/>
      <c r="M23" s="217"/>
      <c r="N23" s="218"/>
      <c r="O23" s="216"/>
    </row>
    <row r="24" spans="1:17" x14ac:dyDescent="0.15">
      <c r="A24" s="35">
        <f>IF(G24&lt;&gt;"",1+MAX($A$6:A23),"")</f>
        <v>11</v>
      </c>
      <c r="B24" s="104" t="s">
        <v>85</v>
      </c>
      <c r="C24" s="15"/>
      <c r="D24" s="14"/>
      <c r="E24" s="47" t="s">
        <v>25</v>
      </c>
      <c r="F24" s="99" t="s">
        <v>13</v>
      </c>
      <c r="G24" s="48">
        <f>(8*8*1.5/27)*6</f>
        <v>21.333333333333332</v>
      </c>
      <c r="H24" s="8">
        <v>7.0000000000000007E-2</v>
      </c>
      <c r="I24" s="18">
        <f t="shared" ref="I24:I28" si="4">G24*(1+H24)</f>
        <v>22.826666666666668</v>
      </c>
      <c r="J24" s="194">
        <v>600</v>
      </c>
      <c r="K24" s="194">
        <v>300</v>
      </c>
      <c r="L24" s="219">
        <f>J24*I24</f>
        <v>13696</v>
      </c>
      <c r="M24" s="219">
        <f>K24*I24</f>
        <v>6848</v>
      </c>
      <c r="N24" s="20">
        <f t="shared" ref="N24:N28" si="5">L24+M24</f>
        <v>20544</v>
      </c>
      <c r="O24" s="216"/>
    </row>
    <row r="25" spans="1:17" x14ac:dyDescent="0.15">
      <c r="A25" s="35">
        <f>IF(G25&lt;&gt;"",1+MAX($A$6:A24),"")</f>
        <v>12</v>
      </c>
      <c r="B25" s="104" t="s">
        <v>85</v>
      </c>
      <c r="C25" s="15"/>
      <c r="D25" s="14"/>
      <c r="E25" s="21" t="s">
        <v>108</v>
      </c>
      <c r="F25" s="99" t="s">
        <v>32</v>
      </c>
      <c r="G25" s="13">
        <f>18*7.5*1.502*6</f>
        <v>1216.6200000000001</v>
      </c>
      <c r="H25" s="8">
        <v>7.0000000000000007E-2</v>
      </c>
      <c r="I25" s="18">
        <f t="shared" si="4"/>
        <v>1301.7834000000003</v>
      </c>
      <c r="J25" s="194">
        <v>4</v>
      </c>
      <c r="K25" s="194">
        <v>3</v>
      </c>
      <c r="L25" s="219">
        <f>J25*I25</f>
        <v>5207.133600000001</v>
      </c>
      <c r="M25" s="219">
        <f>K25*I25</f>
        <v>3905.3502000000008</v>
      </c>
      <c r="N25" s="20">
        <f t="shared" si="5"/>
        <v>9112.4838000000018</v>
      </c>
      <c r="O25" s="216"/>
      <c r="Q25" s="52"/>
    </row>
    <row r="26" spans="1:17" x14ac:dyDescent="0.15">
      <c r="A26" s="35">
        <f>IF(G26&lt;&gt;"",1+MAX($A$6:A25),"")</f>
        <v>13</v>
      </c>
      <c r="B26" s="104" t="s">
        <v>85</v>
      </c>
      <c r="C26" s="15"/>
      <c r="D26" s="14"/>
      <c r="E26" s="21" t="s">
        <v>15</v>
      </c>
      <c r="F26" s="99" t="s">
        <v>16</v>
      </c>
      <c r="G26" s="48">
        <f>8*4*1.5*6</f>
        <v>288</v>
      </c>
      <c r="H26" s="8">
        <v>7.0000000000000007E-2</v>
      </c>
      <c r="I26" s="18">
        <f t="shared" si="4"/>
        <v>308.16000000000003</v>
      </c>
      <c r="J26" s="194">
        <v>2</v>
      </c>
      <c r="K26" s="194">
        <v>2</v>
      </c>
      <c r="L26" s="219">
        <f>J26*I26</f>
        <v>616.32000000000005</v>
      </c>
      <c r="M26" s="219">
        <f>K26*I26</f>
        <v>616.32000000000005</v>
      </c>
      <c r="N26" s="20">
        <f t="shared" si="5"/>
        <v>1232.6400000000001</v>
      </c>
      <c r="O26" s="216"/>
    </row>
    <row r="27" spans="1:17" x14ac:dyDescent="0.15">
      <c r="A27" s="35">
        <f>IF(G27&lt;&gt;"",1+MAX($A$6:A26),"")</f>
        <v>14</v>
      </c>
      <c r="B27" s="104" t="s">
        <v>85</v>
      </c>
      <c r="C27" s="15"/>
      <c r="D27" s="14"/>
      <c r="E27" s="21" t="s">
        <v>18</v>
      </c>
      <c r="F27" s="99" t="s">
        <v>13</v>
      </c>
      <c r="G27" s="48">
        <f>(8.5*8.5*1.5/27)*6</f>
        <v>24.083333333333336</v>
      </c>
      <c r="H27" s="50">
        <v>7.0000000000000007E-2</v>
      </c>
      <c r="I27" s="18">
        <f t="shared" si="4"/>
        <v>25.769166666666671</v>
      </c>
      <c r="J27" s="194">
        <v>0</v>
      </c>
      <c r="K27" s="194">
        <v>35</v>
      </c>
      <c r="L27" s="219">
        <f>J27*I27</f>
        <v>0</v>
      </c>
      <c r="M27" s="219">
        <f>K27*I27</f>
        <v>901.92083333333346</v>
      </c>
      <c r="N27" s="20">
        <f t="shared" si="5"/>
        <v>901.92083333333346</v>
      </c>
      <c r="O27" s="216"/>
    </row>
    <row r="28" spans="1:17" x14ac:dyDescent="0.15">
      <c r="A28" s="35">
        <f>IF(G28&lt;&gt;"",1+MAX($A$6:A27),"")</f>
        <v>15</v>
      </c>
      <c r="B28" s="104" t="s">
        <v>85</v>
      </c>
      <c r="C28" s="15"/>
      <c r="D28" s="14"/>
      <c r="E28" s="21" t="s">
        <v>17</v>
      </c>
      <c r="F28" s="99" t="s">
        <v>13</v>
      </c>
      <c r="G28" s="48">
        <f>G27-G24</f>
        <v>2.7500000000000036</v>
      </c>
      <c r="H28" s="50">
        <v>7.0000000000000007E-2</v>
      </c>
      <c r="I28" s="53">
        <f t="shared" si="4"/>
        <v>2.9425000000000039</v>
      </c>
      <c r="J28" s="194">
        <v>0</v>
      </c>
      <c r="K28" s="194">
        <v>35</v>
      </c>
      <c r="L28" s="219">
        <f>J28*I28</f>
        <v>0</v>
      </c>
      <c r="M28" s="219">
        <f>K28*I28</f>
        <v>102.98750000000014</v>
      </c>
      <c r="N28" s="20">
        <f t="shared" si="5"/>
        <v>102.98750000000014</v>
      </c>
      <c r="O28" s="216"/>
    </row>
    <row r="29" spans="1:17" ht="15.75" thickBot="1" x14ac:dyDescent="0.2">
      <c r="A29" s="35" t="str">
        <f>IF(G29&lt;&gt;"",1+MAX($A$6:A28),"")</f>
        <v/>
      </c>
      <c r="B29" s="104"/>
      <c r="C29" s="15"/>
      <c r="D29" s="14"/>
      <c r="E29" s="54"/>
      <c r="F29" s="99"/>
      <c r="G29" s="48"/>
      <c r="H29" s="50"/>
      <c r="I29" s="11"/>
      <c r="J29" s="220"/>
      <c r="K29" s="220"/>
      <c r="L29" s="220"/>
      <c r="M29" s="220"/>
      <c r="N29" s="20"/>
      <c r="O29" s="216"/>
    </row>
    <row r="30" spans="1:17" ht="75" thickBot="1" x14ac:dyDescent="0.25">
      <c r="A30" s="35" t="str">
        <f>IF(G30&lt;&gt;"",1+MAX($A$6:A29),"")</f>
        <v/>
      </c>
      <c r="B30" s="104"/>
      <c r="C30" s="15"/>
      <c r="D30" s="15"/>
      <c r="E30" s="16" t="s">
        <v>109</v>
      </c>
      <c r="F30" s="99"/>
      <c r="G30" s="46"/>
      <c r="H30" s="17"/>
      <c r="I30" s="18"/>
      <c r="J30" s="217"/>
      <c r="K30" s="217"/>
      <c r="L30" s="217"/>
      <c r="M30" s="217"/>
      <c r="N30" s="218"/>
      <c r="O30" s="216"/>
    </row>
    <row r="31" spans="1:17" x14ac:dyDescent="0.15">
      <c r="A31" s="35">
        <f>IF(G31&lt;&gt;"",1+MAX($A$6:A30),"")</f>
        <v>16</v>
      </c>
      <c r="B31" s="104" t="s">
        <v>85</v>
      </c>
      <c r="C31" s="15"/>
      <c r="D31" s="14"/>
      <c r="E31" s="47" t="s">
        <v>25</v>
      </c>
      <c r="F31" s="99" t="s">
        <v>13</v>
      </c>
      <c r="G31" s="48">
        <f>(9*9*1.5/27)*4</f>
        <v>18</v>
      </c>
      <c r="H31" s="8">
        <v>7.0000000000000007E-2</v>
      </c>
      <c r="I31" s="18">
        <f t="shared" ref="I31:I35" si="6">G31*(1+H31)</f>
        <v>19.260000000000002</v>
      </c>
      <c r="J31" s="194">
        <v>600</v>
      </c>
      <c r="K31" s="194">
        <v>300</v>
      </c>
      <c r="L31" s="219">
        <f>J31*I31</f>
        <v>11556.000000000002</v>
      </c>
      <c r="M31" s="219">
        <f>K31*I31</f>
        <v>5778.0000000000009</v>
      </c>
      <c r="N31" s="20">
        <f t="shared" ref="N31:N35" si="7">L31+M31</f>
        <v>17334.000000000004</v>
      </c>
      <c r="O31" s="216"/>
    </row>
    <row r="32" spans="1:17" x14ac:dyDescent="0.15">
      <c r="A32" s="35">
        <f>IF(G32&lt;&gt;"",1+MAX($A$6:A31),"")</f>
        <v>17</v>
      </c>
      <c r="B32" s="104" t="s">
        <v>85</v>
      </c>
      <c r="C32" s="15"/>
      <c r="D32" s="14"/>
      <c r="E32" s="21" t="s">
        <v>110</v>
      </c>
      <c r="F32" s="99" t="s">
        <v>32</v>
      </c>
      <c r="G32" s="13">
        <f>22*8.5*1.502*4</f>
        <v>1123.4960000000001</v>
      </c>
      <c r="H32" s="8">
        <v>7.0000000000000007E-2</v>
      </c>
      <c r="I32" s="18">
        <f t="shared" si="6"/>
        <v>1202.1407200000001</v>
      </c>
      <c r="J32" s="194">
        <v>4</v>
      </c>
      <c r="K32" s="194">
        <v>3</v>
      </c>
      <c r="L32" s="219">
        <f>J32*I32</f>
        <v>4808.5628800000004</v>
      </c>
      <c r="M32" s="219">
        <f>K32*I32</f>
        <v>3606.4221600000001</v>
      </c>
      <c r="N32" s="20">
        <f t="shared" si="7"/>
        <v>8414.9850399999996</v>
      </c>
      <c r="O32" s="216"/>
      <c r="Q32" s="52"/>
    </row>
    <row r="33" spans="1:17" x14ac:dyDescent="0.15">
      <c r="A33" s="35">
        <f>IF(G33&lt;&gt;"",1+MAX($A$6:A32),"")</f>
        <v>18</v>
      </c>
      <c r="B33" s="104" t="s">
        <v>85</v>
      </c>
      <c r="C33" s="15"/>
      <c r="D33" s="14"/>
      <c r="E33" s="21" t="s">
        <v>15</v>
      </c>
      <c r="F33" s="99" t="s">
        <v>16</v>
      </c>
      <c r="G33" s="48">
        <f>9*4*1.5*4</f>
        <v>216</v>
      </c>
      <c r="H33" s="8">
        <v>7.0000000000000007E-2</v>
      </c>
      <c r="I33" s="18">
        <f t="shared" si="6"/>
        <v>231.12</v>
      </c>
      <c r="J33" s="194">
        <v>2</v>
      </c>
      <c r="K33" s="194">
        <v>2</v>
      </c>
      <c r="L33" s="219">
        <f>J33*I33</f>
        <v>462.24</v>
      </c>
      <c r="M33" s="219">
        <f>K33*I33</f>
        <v>462.24</v>
      </c>
      <c r="N33" s="20">
        <f t="shared" si="7"/>
        <v>924.48</v>
      </c>
      <c r="O33" s="216"/>
    </row>
    <row r="34" spans="1:17" x14ac:dyDescent="0.15">
      <c r="A34" s="35">
        <f>IF(G34&lt;&gt;"",1+MAX($A$6:A33),"")</f>
        <v>19</v>
      </c>
      <c r="B34" s="104" t="s">
        <v>85</v>
      </c>
      <c r="C34" s="15"/>
      <c r="D34" s="14"/>
      <c r="E34" s="21" t="s">
        <v>18</v>
      </c>
      <c r="F34" s="99" t="s">
        <v>13</v>
      </c>
      <c r="G34" s="48">
        <f>(9.5*9.5*1.5/27)*4</f>
        <v>20.055555555555557</v>
      </c>
      <c r="H34" s="50">
        <v>7.0000000000000007E-2</v>
      </c>
      <c r="I34" s="18">
        <f t="shared" si="6"/>
        <v>21.459444444444447</v>
      </c>
      <c r="J34" s="194">
        <v>0</v>
      </c>
      <c r="K34" s="194">
        <v>35</v>
      </c>
      <c r="L34" s="219">
        <f>J34*I34</f>
        <v>0</v>
      </c>
      <c r="M34" s="219">
        <f>K34*I34</f>
        <v>751.08055555555563</v>
      </c>
      <c r="N34" s="20">
        <f t="shared" si="7"/>
        <v>751.08055555555563</v>
      </c>
      <c r="O34" s="216"/>
    </row>
    <row r="35" spans="1:17" x14ac:dyDescent="0.15">
      <c r="A35" s="35">
        <f>IF(G35&lt;&gt;"",1+MAX($A$6:A34),"")</f>
        <v>20</v>
      </c>
      <c r="B35" s="104" t="s">
        <v>85</v>
      </c>
      <c r="C35" s="15"/>
      <c r="D35" s="14"/>
      <c r="E35" s="21" t="s">
        <v>17</v>
      </c>
      <c r="F35" s="99" t="s">
        <v>13</v>
      </c>
      <c r="G35" s="48">
        <f>G34-G31</f>
        <v>2.0555555555555571</v>
      </c>
      <c r="H35" s="50">
        <v>7.0000000000000007E-2</v>
      </c>
      <c r="I35" s="53">
        <f t="shared" si="6"/>
        <v>2.1994444444444463</v>
      </c>
      <c r="J35" s="194">
        <v>0</v>
      </c>
      <c r="K35" s="194">
        <v>35</v>
      </c>
      <c r="L35" s="219">
        <f>J35*I35</f>
        <v>0</v>
      </c>
      <c r="M35" s="219">
        <f>K35*I35</f>
        <v>76.980555555555625</v>
      </c>
      <c r="N35" s="20">
        <f t="shared" si="7"/>
        <v>76.980555555555625</v>
      </c>
      <c r="O35" s="216"/>
    </row>
    <row r="36" spans="1:17" ht="15.75" thickBot="1" x14ac:dyDescent="0.2">
      <c r="A36" s="35" t="str">
        <f>IF(G36&lt;&gt;"",1+MAX($A$6:A35),"")</f>
        <v/>
      </c>
      <c r="B36" s="104"/>
      <c r="C36" s="15"/>
      <c r="D36" s="14"/>
      <c r="E36" s="54"/>
      <c r="F36" s="99"/>
      <c r="G36" s="48"/>
      <c r="H36" s="50"/>
      <c r="I36" s="11"/>
      <c r="J36" s="220"/>
      <c r="K36" s="220"/>
      <c r="L36" s="220"/>
      <c r="M36" s="220"/>
      <c r="N36" s="20"/>
      <c r="O36" s="216"/>
    </row>
    <row r="37" spans="1:17" ht="75" thickBot="1" x14ac:dyDescent="0.25">
      <c r="A37" s="35" t="str">
        <f>IF(G37&lt;&gt;"",1+MAX($A$6:A36),"")</f>
        <v/>
      </c>
      <c r="B37" s="104"/>
      <c r="C37" s="15"/>
      <c r="D37" s="15"/>
      <c r="E37" s="16" t="s">
        <v>111</v>
      </c>
      <c r="F37" s="99"/>
      <c r="G37" s="46"/>
      <c r="H37" s="17"/>
      <c r="I37" s="18"/>
      <c r="J37" s="217"/>
      <c r="K37" s="217"/>
      <c r="L37" s="217"/>
      <c r="M37" s="217"/>
      <c r="N37" s="218"/>
      <c r="O37" s="216"/>
    </row>
    <row r="38" spans="1:17" x14ac:dyDescent="0.15">
      <c r="A38" s="35">
        <f>IF(G38&lt;&gt;"",1+MAX($A$6:A37),"")</f>
        <v>21</v>
      </c>
      <c r="B38" s="104" t="s">
        <v>85</v>
      </c>
      <c r="C38" s="15"/>
      <c r="D38" s="14"/>
      <c r="E38" s="47" t="s">
        <v>25</v>
      </c>
      <c r="F38" s="99" t="s">
        <v>13</v>
      </c>
      <c r="G38" s="48">
        <f>(10*10*1.75/27)*3</f>
        <v>19.444444444444446</v>
      </c>
      <c r="H38" s="8">
        <v>7.0000000000000007E-2</v>
      </c>
      <c r="I38" s="18">
        <f t="shared" ref="I38:I42" si="8">G38*(1+H38)</f>
        <v>20.805555555555557</v>
      </c>
      <c r="J38" s="194">
        <v>600</v>
      </c>
      <c r="K38" s="194">
        <v>300</v>
      </c>
      <c r="L38" s="219">
        <f>J38*I38</f>
        <v>12483.333333333334</v>
      </c>
      <c r="M38" s="219">
        <f>K38*I38</f>
        <v>6241.666666666667</v>
      </c>
      <c r="N38" s="20">
        <f t="shared" ref="N38:N42" si="9">L38+M38</f>
        <v>18725</v>
      </c>
      <c r="O38" s="216"/>
    </row>
    <row r="39" spans="1:17" x14ac:dyDescent="0.15">
      <c r="A39" s="35">
        <f>IF(G39&lt;&gt;"",1+MAX($A$6:A38),"")</f>
        <v>22</v>
      </c>
      <c r="B39" s="104" t="s">
        <v>85</v>
      </c>
      <c r="C39" s="15"/>
      <c r="D39" s="14"/>
      <c r="E39" s="21" t="s">
        <v>112</v>
      </c>
      <c r="F39" s="99" t="s">
        <v>32</v>
      </c>
      <c r="G39" s="13">
        <f>22*9.5*2.044*3</f>
        <v>1281.5880000000002</v>
      </c>
      <c r="H39" s="8">
        <v>7.0000000000000007E-2</v>
      </c>
      <c r="I39" s="18">
        <f t="shared" si="8"/>
        <v>1371.2991600000003</v>
      </c>
      <c r="J39" s="194">
        <v>4</v>
      </c>
      <c r="K39" s="194">
        <v>3</v>
      </c>
      <c r="L39" s="219">
        <f>J39*I39</f>
        <v>5485.196640000001</v>
      </c>
      <c r="M39" s="219">
        <f>K39*I39</f>
        <v>4113.8974800000005</v>
      </c>
      <c r="N39" s="20">
        <f t="shared" si="9"/>
        <v>9599.0941200000016</v>
      </c>
      <c r="O39" s="216"/>
      <c r="Q39" s="52"/>
    </row>
    <row r="40" spans="1:17" x14ac:dyDescent="0.15">
      <c r="A40" s="35">
        <f>IF(G40&lt;&gt;"",1+MAX($A$6:A39),"")</f>
        <v>23</v>
      </c>
      <c r="B40" s="104" t="s">
        <v>85</v>
      </c>
      <c r="C40" s="15"/>
      <c r="D40" s="14"/>
      <c r="E40" s="21" t="s">
        <v>15</v>
      </c>
      <c r="F40" s="99" t="s">
        <v>16</v>
      </c>
      <c r="G40" s="48">
        <f>10*4*1.75*3</f>
        <v>210</v>
      </c>
      <c r="H40" s="8">
        <v>7.0000000000000007E-2</v>
      </c>
      <c r="I40" s="18">
        <f t="shared" si="8"/>
        <v>224.70000000000002</v>
      </c>
      <c r="J40" s="194">
        <v>2</v>
      </c>
      <c r="K40" s="194">
        <v>2</v>
      </c>
      <c r="L40" s="219">
        <f>J40*I40</f>
        <v>449.40000000000003</v>
      </c>
      <c r="M40" s="219">
        <f>K40*I40</f>
        <v>449.40000000000003</v>
      </c>
      <c r="N40" s="20">
        <f t="shared" si="9"/>
        <v>898.80000000000007</v>
      </c>
      <c r="O40" s="216"/>
    </row>
    <row r="41" spans="1:17" x14ac:dyDescent="0.15">
      <c r="A41" s="35">
        <f>IF(G41&lt;&gt;"",1+MAX($A$6:A40),"")</f>
        <v>24</v>
      </c>
      <c r="B41" s="104" t="s">
        <v>85</v>
      </c>
      <c r="C41" s="15"/>
      <c r="D41" s="14"/>
      <c r="E41" s="21" t="s">
        <v>18</v>
      </c>
      <c r="F41" s="99" t="s">
        <v>13</v>
      </c>
      <c r="G41" s="48">
        <f>(10.5*10.5*1.75/27)*3</f>
        <v>21.4375</v>
      </c>
      <c r="H41" s="50">
        <v>7.0000000000000007E-2</v>
      </c>
      <c r="I41" s="18">
        <f t="shared" si="8"/>
        <v>22.938125000000003</v>
      </c>
      <c r="J41" s="194">
        <v>0</v>
      </c>
      <c r="K41" s="194">
        <v>35</v>
      </c>
      <c r="L41" s="219">
        <f>J41*I41</f>
        <v>0</v>
      </c>
      <c r="M41" s="219">
        <f>K41*I41</f>
        <v>802.83437500000014</v>
      </c>
      <c r="N41" s="20">
        <f t="shared" si="9"/>
        <v>802.83437500000014</v>
      </c>
      <c r="O41" s="216"/>
    </row>
    <row r="42" spans="1:17" x14ac:dyDescent="0.15">
      <c r="A42" s="35">
        <f>IF(G42&lt;&gt;"",1+MAX($A$6:A41),"")</f>
        <v>25</v>
      </c>
      <c r="B42" s="104" t="s">
        <v>85</v>
      </c>
      <c r="C42" s="15"/>
      <c r="D42" s="14"/>
      <c r="E42" s="21" t="s">
        <v>17</v>
      </c>
      <c r="F42" s="99" t="s">
        <v>13</v>
      </c>
      <c r="G42" s="48">
        <f>G41-G38</f>
        <v>1.9930555555555536</v>
      </c>
      <c r="H42" s="50">
        <v>7.0000000000000007E-2</v>
      </c>
      <c r="I42" s="53">
        <f t="shared" si="8"/>
        <v>2.1325694444444423</v>
      </c>
      <c r="J42" s="194">
        <v>0</v>
      </c>
      <c r="K42" s="194">
        <v>35</v>
      </c>
      <c r="L42" s="219">
        <f>J42*I42</f>
        <v>0</v>
      </c>
      <c r="M42" s="219">
        <f>K42*I42</f>
        <v>74.63993055555548</v>
      </c>
      <c r="N42" s="20">
        <f t="shared" si="9"/>
        <v>74.63993055555548</v>
      </c>
      <c r="O42" s="216"/>
    </row>
    <row r="43" spans="1:17" ht="15.75" thickBot="1" x14ac:dyDescent="0.2">
      <c r="A43" s="35" t="str">
        <f>IF(G43&lt;&gt;"",1+MAX($A$6:A42),"")</f>
        <v/>
      </c>
      <c r="B43" s="104"/>
      <c r="C43" s="15"/>
      <c r="D43" s="14"/>
      <c r="E43" s="54"/>
      <c r="F43" s="99"/>
      <c r="G43" s="48"/>
      <c r="H43" s="50"/>
      <c r="I43" s="11"/>
      <c r="J43" s="220"/>
      <c r="K43" s="220"/>
      <c r="L43" s="220"/>
      <c r="M43" s="220"/>
      <c r="N43" s="20"/>
      <c r="O43" s="216"/>
    </row>
    <row r="44" spans="1:17" ht="75" thickBot="1" x14ac:dyDescent="0.25">
      <c r="A44" s="35" t="str">
        <f>IF(G44&lt;&gt;"",1+MAX($A$6:A43),"")</f>
        <v/>
      </c>
      <c r="B44" s="104"/>
      <c r="C44" s="15"/>
      <c r="D44" s="15"/>
      <c r="E44" s="16" t="s">
        <v>113</v>
      </c>
      <c r="F44" s="99"/>
      <c r="G44" s="46"/>
      <c r="H44" s="17"/>
      <c r="I44" s="18"/>
      <c r="J44" s="217"/>
      <c r="K44" s="217"/>
      <c r="L44" s="217"/>
      <c r="M44" s="217"/>
      <c r="N44" s="218"/>
      <c r="O44" s="216"/>
    </row>
    <row r="45" spans="1:17" x14ac:dyDescent="0.15">
      <c r="A45" s="35">
        <f>IF(G45&lt;&gt;"",1+MAX($A$6:A44),"")</f>
        <v>26</v>
      </c>
      <c r="B45" s="104" t="s">
        <v>85</v>
      </c>
      <c r="C45" s="15"/>
      <c r="D45" s="14"/>
      <c r="E45" s="47" t="s">
        <v>25</v>
      </c>
      <c r="F45" s="99" t="s">
        <v>13</v>
      </c>
      <c r="G45" s="48">
        <f>(11*11*2/27)</f>
        <v>8.9629629629629637</v>
      </c>
      <c r="H45" s="8">
        <v>7.0000000000000007E-2</v>
      </c>
      <c r="I45" s="18">
        <f t="shared" ref="I45:I49" si="10">G45*(1+H45)</f>
        <v>9.5903703703703709</v>
      </c>
      <c r="J45" s="194">
        <v>600</v>
      </c>
      <c r="K45" s="194">
        <v>300</v>
      </c>
      <c r="L45" s="219">
        <f>J45*I45</f>
        <v>5754.2222222222226</v>
      </c>
      <c r="M45" s="219">
        <f>K45*I45</f>
        <v>2877.1111111111113</v>
      </c>
      <c r="N45" s="20">
        <f t="shared" ref="N45:N49" si="11">L45+M45</f>
        <v>8631.3333333333339</v>
      </c>
      <c r="O45" s="216"/>
    </row>
    <row r="46" spans="1:17" x14ac:dyDescent="0.15">
      <c r="A46" s="35">
        <f>IF(G46&lt;&gt;"",1+MAX($A$6:A45),"")</f>
        <v>27</v>
      </c>
      <c r="B46" s="104" t="s">
        <v>85</v>
      </c>
      <c r="C46" s="15"/>
      <c r="D46" s="14"/>
      <c r="E46" s="21" t="s">
        <v>114</v>
      </c>
      <c r="F46" s="99" t="s">
        <v>32</v>
      </c>
      <c r="G46" s="13">
        <f>24*10.5*2.044</f>
        <v>515.08799999999997</v>
      </c>
      <c r="H46" s="8">
        <v>7.0000000000000007E-2</v>
      </c>
      <c r="I46" s="18">
        <f t="shared" si="10"/>
        <v>551.14415999999994</v>
      </c>
      <c r="J46" s="194">
        <v>4</v>
      </c>
      <c r="K46" s="194">
        <v>3</v>
      </c>
      <c r="L46" s="219">
        <f>J46*I46</f>
        <v>2204.5766399999998</v>
      </c>
      <c r="M46" s="219">
        <f>K46*I46</f>
        <v>1653.4324799999999</v>
      </c>
      <c r="N46" s="20">
        <f t="shared" si="11"/>
        <v>3858.0091199999997</v>
      </c>
      <c r="O46" s="216"/>
      <c r="Q46" s="52"/>
    </row>
    <row r="47" spans="1:17" x14ac:dyDescent="0.15">
      <c r="A47" s="35">
        <f>IF(G47&lt;&gt;"",1+MAX($A$6:A46),"")</f>
        <v>28</v>
      </c>
      <c r="B47" s="104" t="s">
        <v>85</v>
      </c>
      <c r="C47" s="15"/>
      <c r="D47" s="14"/>
      <c r="E47" s="21" t="s">
        <v>15</v>
      </c>
      <c r="F47" s="99" t="s">
        <v>16</v>
      </c>
      <c r="G47" s="48">
        <f>11*4*2</f>
        <v>88</v>
      </c>
      <c r="H47" s="8">
        <v>7.0000000000000007E-2</v>
      </c>
      <c r="I47" s="18">
        <f t="shared" si="10"/>
        <v>94.160000000000011</v>
      </c>
      <c r="J47" s="194">
        <v>2</v>
      </c>
      <c r="K47" s="194">
        <v>2</v>
      </c>
      <c r="L47" s="219">
        <f>J47*I47</f>
        <v>188.32000000000002</v>
      </c>
      <c r="M47" s="219">
        <f>K47*I47</f>
        <v>188.32000000000002</v>
      </c>
      <c r="N47" s="20">
        <f t="shared" si="11"/>
        <v>376.64000000000004</v>
      </c>
      <c r="O47" s="216"/>
    </row>
    <row r="48" spans="1:17" x14ac:dyDescent="0.15">
      <c r="A48" s="35">
        <f>IF(G48&lt;&gt;"",1+MAX($A$6:A47),"")</f>
        <v>29</v>
      </c>
      <c r="B48" s="104" t="s">
        <v>85</v>
      </c>
      <c r="C48" s="15"/>
      <c r="D48" s="14"/>
      <c r="E48" s="21" t="s">
        <v>18</v>
      </c>
      <c r="F48" s="99" t="s">
        <v>13</v>
      </c>
      <c r="G48" s="48">
        <f>(11.5*11.5*2/27)</f>
        <v>9.7962962962962958</v>
      </c>
      <c r="H48" s="50">
        <v>7.0000000000000007E-2</v>
      </c>
      <c r="I48" s="18">
        <f t="shared" si="10"/>
        <v>10.482037037037037</v>
      </c>
      <c r="J48" s="194">
        <v>0</v>
      </c>
      <c r="K48" s="194">
        <v>35</v>
      </c>
      <c r="L48" s="219">
        <f>J48*I48</f>
        <v>0</v>
      </c>
      <c r="M48" s="219">
        <f>K48*I48</f>
        <v>366.87129629629629</v>
      </c>
      <c r="N48" s="20">
        <f t="shared" si="11"/>
        <v>366.87129629629629</v>
      </c>
      <c r="O48" s="216"/>
    </row>
    <row r="49" spans="1:15" x14ac:dyDescent="0.15">
      <c r="A49" s="35">
        <f>IF(G49&lt;&gt;"",1+MAX($A$6:A48),"")</f>
        <v>30</v>
      </c>
      <c r="B49" s="104" t="s">
        <v>85</v>
      </c>
      <c r="C49" s="15"/>
      <c r="D49" s="14"/>
      <c r="E49" s="21" t="s">
        <v>17</v>
      </c>
      <c r="F49" s="99" t="s">
        <v>13</v>
      </c>
      <c r="G49" s="48">
        <f>G48-G45</f>
        <v>0.83333333333333215</v>
      </c>
      <c r="H49" s="50">
        <v>7.0000000000000007E-2</v>
      </c>
      <c r="I49" s="53">
        <f t="shared" si="10"/>
        <v>0.8916666666666655</v>
      </c>
      <c r="J49" s="194">
        <v>0</v>
      </c>
      <c r="K49" s="194">
        <v>35</v>
      </c>
      <c r="L49" s="219">
        <f>J49*I49</f>
        <v>0</v>
      </c>
      <c r="M49" s="219">
        <f>K49*I49</f>
        <v>31.208333333333293</v>
      </c>
      <c r="N49" s="20">
        <f t="shared" si="11"/>
        <v>31.208333333333293</v>
      </c>
      <c r="O49" s="216"/>
    </row>
    <row r="50" spans="1:15" ht="15.75" thickBot="1" x14ac:dyDescent="0.2">
      <c r="A50" s="35" t="str">
        <f>IF(G50&lt;&gt;"",1+MAX($A$6:A49),"")</f>
        <v/>
      </c>
      <c r="B50" s="104"/>
      <c r="C50" s="15"/>
      <c r="D50" s="14"/>
      <c r="E50" s="54"/>
      <c r="F50" s="174"/>
      <c r="G50" s="55"/>
      <c r="H50" s="50"/>
      <c r="I50" s="11"/>
      <c r="J50" s="220"/>
      <c r="K50" s="220"/>
      <c r="L50" s="220"/>
      <c r="M50" s="220"/>
      <c r="N50" s="20"/>
      <c r="O50" s="216"/>
    </row>
    <row r="51" spans="1:15" ht="15.75" thickBot="1" x14ac:dyDescent="0.2">
      <c r="A51" s="35" t="str">
        <f>IF(G51&lt;&gt;"",1+MAX($A$6:A50),"")</f>
        <v/>
      </c>
      <c r="B51" s="104"/>
      <c r="C51" s="42"/>
      <c r="D51" s="43"/>
      <c r="E51" s="240" t="s">
        <v>33</v>
      </c>
      <c r="F51" s="241"/>
      <c r="G51" s="242"/>
      <c r="H51" s="44"/>
      <c r="I51" s="45"/>
      <c r="J51" s="214"/>
      <c r="K51" s="214"/>
      <c r="L51" s="214"/>
      <c r="M51" s="214"/>
      <c r="N51" s="215"/>
      <c r="O51" s="216"/>
    </row>
    <row r="52" spans="1:15" ht="60" thickBot="1" x14ac:dyDescent="0.25">
      <c r="A52" s="35" t="str">
        <f>IF(G52&lt;&gt;"",1+MAX($A$6:A51),"")</f>
        <v/>
      </c>
      <c r="B52" s="104"/>
      <c r="C52" s="15"/>
      <c r="D52" s="15"/>
      <c r="E52" s="178" t="s">
        <v>115</v>
      </c>
      <c r="F52" s="173"/>
      <c r="G52" s="12"/>
      <c r="H52" s="17"/>
      <c r="I52" s="18"/>
      <c r="J52" s="217"/>
      <c r="K52" s="217"/>
      <c r="L52" s="217"/>
      <c r="M52" s="217"/>
      <c r="N52" s="218"/>
      <c r="O52" s="216"/>
    </row>
    <row r="53" spans="1:15" x14ac:dyDescent="0.15">
      <c r="A53" s="35">
        <f>IF(G53&lt;&gt;"",1+MAX($A$6:A52),"")</f>
        <v>31</v>
      </c>
      <c r="B53" s="104" t="s">
        <v>85</v>
      </c>
      <c r="C53" s="15"/>
      <c r="D53" s="14"/>
      <c r="E53" s="47" t="s">
        <v>25</v>
      </c>
      <c r="F53" s="99" t="s">
        <v>13</v>
      </c>
      <c r="G53" s="13">
        <f>2*1*427/27</f>
        <v>31.62962962962963</v>
      </c>
      <c r="H53" s="8">
        <v>7.0000000000000007E-2</v>
      </c>
      <c r="I53" s="18">
        <f t="shared" ref="I53:I57" si="12">G53*(1+H53)</f>
        <v>33.843703703703703</v>
      </c>
      <c r="J53" s="194">
        <v>600</v>
      </c>
      <c r="K53" s="194">
        <v>300</v>
      </c>
      <c r="L53" s="219">
        <f>J53*I53</f>
        <v>20306.222222222223</v>
      </c>
      <c r="M53" s="219">
        <f>K53*I53</f>
        <v>10153.111111111111</v>
      </c>
      <c r="N53" s="20">
        <f t="shared" ref="N53:N57" si="13">L53+M53</f>
        <v>30459.333333333336</v>
      </c>
      <c r="O53" s="216"/>
    </row>
    <row r="54" spans="1:15" x14ac:dyDescent="0.15">
      <c r="A54" s="35">
        <f>IF(G54&lt;&gt;"",1+MAX($A$6:A53),"")</f>
        <v>32</v>
      </c>
      <c r="B54" s="104" t="s">
        <v>85</v>
      </c>
      <c r="C54" s="15"/>
      <c r="D54" s="57"/>
      <c r="E54" s="21" t="s">
        <v>86</v>
      </c>
      <c r="F54" s="99" t="s">
        <v>32</v>
      </c>
      <c r="G54" s="13">
        <f>3*427*0.668</f>
        <v>855.70800000000008</v>
      </c>
      <c r="H54" s="8">
        <v>7.0000000000000007E-2</v>
      </c>
      <c r="I54" s="18">
        <f t="shared" si="12"/>
        <v>915.60756000000015</v>
      </c>
      <c r="J54" s="194">
        <v>4</v>
      </c>
      <c r="K54" s="194">
        <v>3</v>
      </c>
      <c r="L54" s="219">
        <f>J54*I54</f>
        <v>3662.4302400000006</v>
      </c>
      <c r="M54" s="219">
        <f>K54*I54</f>
        <v>2746.8226800000002</v>
      </c>
      <c r="N54" s="20">
        <f t="shared" si="13"/>
        <v>6409.2529200000008</v>
      </c>
      <c r="O54" s="216"/>
    </row>
    <row r="55" spans="1:15" x14ac:dyDescent="0.15">
      <c r="A55" s="35">
        <f>IF(G55&lt;&gt;"",1+MAX($A$6:A54),"")</f>
        <v>33</v>
      </c>
      <c r="B55" s="104" t="s">
        <v>85</v>
      </c>
      <c r="C55" s="15"/>
      <c r="D55" s="14"/>
      <c r="E55" s="21" t="s">
        <v>15</v>
      </c>
      <c r="F55" s="99" t="s">
        <v>16</v>
      </c>
      <c r="G55" s="13">
        <f>427*1*2</f>
        <v>854</v>
      </c>
      <c r="H55" s="8">
        <v>7.0000000000000007E-2</v>
      </c>
      <c r="I55" s="18">
        <f t="shared" si="12"/>
        <v>913.78000000000009</v>
      </c>
      <c r="J55" s="194">
        <v>2</v>
      </c>
      <c r="K55" s="194">
        <v>2</v>
      </c>
      <c r="L55" s="219">
        <f>J55*I55</f>
        <v>1827.5600000000002</v>
      </c>
      <c r="M55" s="219">
        <f>K55*I55</f>
        <v>1827.5600000000002</v>
      </c>
      <c r="N55" s="20">
        <f t="shared" si="13"/>
        <v>3655.1200000000003</v>
      </c>
      <c r="O55" s="216"/>
    </row>
    <row r="56" spans="1:15" x14ac:dyDescent="0.15">
      <c r="A56" s="35">
        <f>IF(G56&lt;&gt;"",1+MAX($A$6:A55),"")</f>
        <v>34</v>
      </c>
      <c r="B56" s="104" t="s">
        <v>85</v>
      </c>
      <c r="C56" s="15"/>
      <c r="D56" s="14"/>
      <c r="E56" s="21" t="s">
        <v>18</v>
      </c>
      <c r="F56" s="99" t="s">
        <v>13</v>
      </c>
      <c r="G56" s="13">
        <f>427*3*2.5/27</f>
        <v>118.61111111111111</v>
      </c>
      <c r="H56" s="50">
        <v>7.0000000000000007E-2</v>
      </c>
      <c r="I56" s="18">
        <f t="shared" si="12"/>
        <v>126.91388888888891</v>
      </c>
      <c r="J56" s="194">
        <v>0</v>
      </c>
      <c r="K56" s="194">
        <v>35</v>
      </c>
      <c r="L56" s="219">
        <f>J56*I56</f>
        <v>0</v>
      </c>
      <c r="M56" s="219">
        <f>K56*I56</f>
        <v>4441.9861111111113</v>
      </c>
      <c r="N56" s="20">
        <f t="shared" si="13"/>
        <v>4441.9861111111113</v>
      </c>
      <c r="O56" s="216"/>
    </row>
    <row r="57" spans="1:15" x14ac:dyDescent="0.15">
      <c r="A57" s="35">
        <f>IF(G57&lt;&gt;"",1+MAX($A$6:A56),"")</f>
        <v>35</v>
      </c>
      <c r="B57" s="104" t="s">
        <v>85</v>
      </c>
      <c r="C57" s="15"/>
      <c r="D57" s="14"/>
      <c r="E57" s="21" t="s">
        <v>17</v>
      </c>
      <c r="F57" s="99" t="s">
        <v>13</v>
      </c>
      <c r="G57" s="13">
        <f>G56-G53-(1*1.5*427/27)</f>
        <v>63.25925925925926</v>
      </c>
      <c r="H57" s="50">
        <v>7.0000000000000007E-2</v>
      </c>
      <c r="I57" s="18">
        <f t="shared" si="12"/>
        <v>67.687407407407406</v>
      </c>
      <c r="J57" s="194">
        <v>0</v>
      </c>
      <c r="K57" s="194">
        <v>35</v>
      </c>
      <c r="L57" s="219">
        <f>J57*I57</f>
        <v>0</v>
      </c>
      <c r="M57" s="219">
        <f>K57*I57</f>
        <v>2369.0592592592593</v>
      </c>
      <c r="N57" s="20">
        <f t="shared" si="13"/>
        <v>2369.0592592592593</v>
      </c>
      <c r="O57" s="216"/>
    </row>
    <row r="58" spans="1:15" ht="15.75" thickBot="1" x14ac:dyDescent="0.2">
      <c r="A58" s="35" t="str">
        <f>IF(G58&lt;&gt;"",1+MAX($A$6:A57),"")</f>
        <v/>
      </c>
      <c r="B58" s="104"/>
      <c r="C58" s="15"/>
      <c r="D58" s="14"/>
      <c r="E58" s="54"/>
      <c r="F58" s="99"/>
      <c r="G58" s="13"/>
      <c r="H58" s="50"/>
      <c r="I58" s="11"/>
      <c r="J58" s="220"/>
      <c r="K58" s="220"/>
      <c r="L58" s="220"/>
      <c r="M58" s="220"/>
      <c r="N58" s="20"/>
      <c r="O58" s="216"/>
    </row>
    <row r="59" spans="1:15" ht="60" thickBot="1" x14ac:dyDescent="0.25">
      <c r="A59" s="35" t="str">
        <f>IF(G59&lt;&gt;"",1+MAX($A$6:A58),"")</f>
        <v/>
      </c>
      <c r="B59" s="104"/>
      <c r="C59" s="15"/>
      <c r="D59" s="15"/>
      <c r="E59" s="16" t="s">
        <v>116</v>
      </c>
      <c r="F59" s="99"/>
      <c r="G59" s="12"/>
      <c r="H59" s="17"/>
      <c r="I59" s="18"/>
      <c r="J59" s="217"/>
      <c r="K59" s="217"/>
      <c r="L59" s="217"/>
      <c r="M59" s="217"/>
      <c r="N59" s="218"/>
      <c r="O59" s="216"/>
    </row>
    <row r="60" spans="1:15" x14ac:dyDescent="0.15">
      <c r="A60" s="35">
        <f>IF(G60&lt;&gt;"",1+MAX($A$6:A59),"")</f>
        <v>36</v>
      </c>
      <c r="B60" s="104" t="s">
        <v>85</v>
      </c>
      <c r="C60" s="15"/>
      <c r="D60" s="14"/>
      <c r="E60" s="47" t="s">
        <v>25</v>
      </c>
      <c r="F60" s="99" t="s">
        <v>13</v>
      </c>
      <c r="G60" s="13">
        <f>2.5*1.75*21/27</f>
        <v>3.4027777777777777</v>
      </c>
      <c r="H60" s="8">
        <v>7.0000000000000007E-2</v>
      </c>
      <c r="I60" s="18">
        <f t="shared" ref="I60:I65" si="14">G60*(1+H60)</f>
        <v>3.6409722222222225</v>
      </c>
      <c r="J60" s="194">
        <v>600</v>
      </c>
      <c r="K60" s="194">
        <v>300</v>
      </c>
      <c r="L60" s="219">
        <f t="shared" ref="L60:L65" si="15">J60*I60</f>
        <v>2184.5833333333335</v>
      </c>
      <c r="M60" s="219">
        <f t="shared" ref="M60:M65" si="16">K60*I60</f>
        <v>1092.2916666666667</v>
      </c>
      <c r="N60" s="20">
        <f t="shared" ref="N60:N65" si="17">L60+M60</f>
        <v>3276.875</v>
      </c>
      <c r="O60" s="216"/>
    </row>
    <row r="61" spans="1:15" x14ac:dyDescent="0.15">
      <c r="A61" s="35">
        <f>IF(G61&lt;&gt;"",1+MAX($A$6:A60),"")</f>
        <v>37</v>
      </c>
      <c r="B61" s="104" t="s">
        <v>85</v>
      </c>
      <c r="C61" s="15"/>
      <c r="D61" s="57"/>
      <c r="E61" s="21" t="s">
        <v>117</v>
      </c>
      <c r="F61" s="99" t="s">
        <v>32</v>
      </c>
      <c r="G61" s="13">
        <f>8*21*1.043</f>
        <v>175.22399999999999</v>
      </c>
      <c r="H61" s="8">
        <v>7.0000000000000007E-2</v>
      </c>
      <c r="I61" s="18">
        <f t="shared" si="14"/>
        <v>187.48967999999999</v>
      </c>
      <c r="J61" s="194">
        <v>4</v>
      </c>
      <c r="K61" s="194">
        <v>3</v>
      </c>
      <c r="L61" s="219">
        <f t="shared" si="15"/>
        <v>749.95871999999997</v>
      </c>
      <c r="M61" s="219">
        <f t="shared" si="16"/>
        <v>562.46903999999995</v>
      </c>
      <c r="N61" s="20">
        <f t="shared" si="17"/>
        <v>1312.42776</v>
      </c>
      <c r="O61" s="216"/>
    </row>
    <row r="62" spans="1:15" x14ac:dyDescent="0.15">
      <c r="A62" s="35">
        <f>IF(G62&lt;&gt;"",1+MAX($A$6:A61),"")</f>
        <v>38</v>
      </c>
      <c r="B62" s="104" t="s">
        <v>85</v>
      </c>
      <c r="C62" s="15"/>
      <c r="D62" s="57"/>
      <c r="E62" s="21" t="s">
        <v>118</v>
      </c>
      <c r="F62" s="99" t="s">
        <v>32</v>
      </c>
      <c r="G62" s="13">
        <f>14*2.5*0.668</f>
        <v>23.380000000000003</v>
      </c>
      <c r="H62" s="8">
        <v>7.0000000000000007E-2</v>
      </c>
      <c r="I62" s="18">
        <f t="shared" ref="I62" si="18">G62*(1+H62)</f>
        <v>25.016600000000004</v>
      </c>
      <c r="J62" s="194">
        <v>4</v>
      </c>
      <c r="K62" s="194">
        <v>3</v>
      </c>
      <c r="L62" s="219">
        <f t="shared" si="15"/>
        <v>100.06640000000002</v>
      </c>
      <c r="M62" s="219">
        <f t="shared" si="16"/>
        <v>75.049800000000005</v>
      </c>
      <c r="N62" s="20">
        <f t="shared" ref="N62" si="19">L62+M62</f>
        <v>175.11620000000002</v>
      </c>
      <c r="O62" s="216"/>
    </row>
    <row r="63" spans="1:15" x14ac:dyDescent="0.15">
      <c r="A63" s="35">
        <f>IF(G63&lt;&gt;"",1+MAX($A$6:A62),"")</f>
        <v>39</v>
      </c>
      <c r="B63" s="104" t="s">
        <v>85</v>
      </c>
      <c r="C63" s="15"/>
      <c r="D63" s="14"/>
      <c r="E63" s="21" t="s">
        <v>15</v>
      </c>
      <c r="F63" s="99" t="s">
        <v>16</v>
      </c>
      <c r="G63" s="13">
        <f>21*1.75*2</f>
        <v>73.5</v>
      </c>
      <c r="H63" s="8">
        <v>7.0000000000000007E-2</v>
      </c>
      <c r="I63" s="18">
        <f t="shared" si="14"/>
        <v>78.64500000000001</v>
      </c>
      <c r="J63" s="194">
        <v>2</v>
      </c>
      <c r="K63" s="194">
        <v>2</v>
      </c>
      <c r="L63" s="219">
        <f t="shared" si="15"/>
        <v>157.29000000000002</v>
      </c>
      <c r="M63" s="219">
        <f t="shared" si="16"/>
        <v>157.29000000000002</v>
      </c>
      <c r="N63" s="20">
        <f t="shared" si="17"/>
        <v>314.58000000000004</v>
      </c>
      <c r="O63" s="216"/>
    </row>
    <row r="64" spans="1:15" x14ac:dyDescent="0.15">
      <c r="A64" s="35">
        <f>IF(G64&lt;&gt;"",1+MAX($A$6:A63),"")</f>
        <v>40</v>
      </c>
      <c r="B64" s="104" t="s">
        <v>85</v>
      </c>
      <c r="C64" s="15"/>
      <c r="D64" s="14"/>
      <c r="E64" s="21" t="s">
        <v>18</v>
      </c>
      <c r="F64" s="99" t="s">
        <v>13</v>
      </c>
      <c r="G64" s="13">
        <f>3.5*1.75*21/27</f>
        <v>4.7638888888888893</v>
      </c>
      <c r="H64" s="50">
        <v>7.0000000000000007E-2</v>
      </c>
      <c r="I64" s="18">
        <f t="shared" si="14"/>
        <v>5.0973611111111117</v>
      </c>
      <c r="J64" s="194">
        <v>0</v>
      </c>
      <c r="K64" s="194">
        <v>35</v>
      </c>
      <c r="L64" s="219">
        <f t="shared" si="15"/>
        <v>0</v>
      </c>
      <c r="M64" s="219">
        <f t="shared" si="16"/>
        <v>178.4076388888889</v>
      </c>
      <c r="N64" s="20">
        <f t="shared" si="17"/>
        <v>178.4076388888889</v>
      </c>
      <c r="O64" s="216"/>
    </row>
    <row r="65" spans="1:15" x14ac:dyDescent="0.15">
      <c r="A65" s="35">
        <f>IF(G65&lt;&gt;"",1+MAX($A$6:A64),"")</f>
        <v>41</v>
      </c>
      <c r="B65" s="104" t="s">
        <v>85</v>
      </c>
      <c r="C65" s="15"/>
      <c r="D65" s="14"/>
      <c r="E65" s="21" t="s">
        <v>17</v>
      </c>
      <c r="F65" s="99" t="s">
        <v>13</v>
      </c>
      <c r="G65" s="13">
        <f>G64-G60</f>
        <v>1.3611111111111116</v>
      </c>
      <c r="H65" s="50">
        <v>7.0000000000000007E-2</v>
      </c>
      <c r="I65" s="18">
        <f t="shared" si="14"/>
        <v>1.4563888888888894</v>
      </c>
      <c r="J65" s="194">
        <v>0</v>
      </c>
      <c r="K65" s="194">
        <v>35</v>
      </c>
      <c r="L65" s="219">
        <f t="shared" si="15"/>
        <v>0</v>
      </c>
      <c r="M65" s="219">
        <f t="shared" si="16"/>
        <v>50.973611111111126</v>
      </c>
      <c r="N65" s="20">
        <f t="shared" si="17"/>
        <v>50.973611111111126</v>
      </c>
      <c r="O65" s="216"/>
    </row>
    <row r="66" spans="1:15" ht="15.75" thickBot="1" x14ac:dyDescent="0.2">
      <c r="A66" s="35" t="str">
        <f>IF(G66&lt;&gt;"",1+MAX($A$6:A65),"")</f>
        <v/>
      </c>
      <c r="B66" s="104"/>
      <c r="C66" s="15"/>
      <c r="D66" s="14"/>
      <c r="E66" s="54"/>
      <c r="F66" s="99"/>
      <c r="G66" s="13"/>
      <c r="H66" s="50"/>
      <c r="I66" s="11"/>
      <c r="J66" s="220"/>
      <c r="K66" s="220"/>
      <c r="L66" s="220"/>
      <c r="M66" s="220"/>
      <c r="N66" s="20"/>
      <c r="O66" s="216"/>
    </row>
    <row r="67" spans="1:15" ht="60" thickBot="1" x14ac:dyDescent="0.25">
      <c r="A67" s="35" t="str">
        <f>IF(G67&lt;&gt;"",1+MAX($A$6:A66),"")</f>
        <v/>
      </c>
      <c r="B67" s="104"/>
      <c r="C67" s="15"/>
      <c r="D67" s="15"/>
      <c r="E67" s="16" t="s">
        <v>119</v>
      </c>
      <c r="F67" s="99"/>
      <c r="G67" s="12"/>
      <c r="H67" s="17"/>
      <c r="I67" s="18"/>
      <c r="J67" s="217"/>
      <c r="K67" s="217"/>
      <c r="L67" s="217"/>
      <c r="M67" s="217"/>
      <c r="N67" s="218"/>
      <c r="O67" s="216"/>
    </row>
    <row r="68" spans="1:15" x14ac:dyDescent="0.15">
      <c r="A68" s="35">
        <f>IF(G68&lt;&gt;"",1+MAX($A$6:A67),"")</f>
        <v>42</v>
      </c>
      <c r="B68" s="104" t="s">
        <v>85</v>
      </c>
      <c r="C68" s="15" t="s">
        <v>120</v>
      </c>
      <c r="D68" s="14"/>
      <c r="E68" s="47" t="s">
        <v>25</v>
      </c>
      <c r="F68" s="99" t="s">
        <v>13</v>
      </c>
      <c r="G68" s="13">
        <f>5*1.25*274/27</f>
        <v>63.425925925925924</v>
      </c>
      <c r="H68" s="8">
        <v>7.0000000000000007E-2</v>
      </c>
      <c r="I68" s="18">
        <f t="shared" ref="I68:I73" si="20">G68*(1+H68)</f>
        <v>67.865740740740748</v>
      </c>
      <c r="J68" s="194">
        <v>600</v>
      </c>
      <c r="K68" s="194">
        <v>300</v>
      </c>
      <c r="L68" s="219">
        <f t="shared" ref="L68:L75" si="21">J68*I68</f>
        <v>40719.444444444445</v>
      </c>
      <c r="M68" s="219">
        <f t="shared" ref="M68:M75" si="22">K68*I68</f>
        <v>20359.722222222223</v>
      </c>
      <c r="N68" s="20">
        <f t="shared" ref="N68:N73" si="23">L68+M68</f>
        <v>61079.166666666672</v>
      </c>
      <c r="O68" s="216"/>
    </row>
    <row r="69" spans="1:15" x14ac:dyDescent="0.15">
      <c r="A69" s="35">
        <f>IF(G69&lt;&gt;"",1+MAX($A$6:A68),"")</f>
        <v>43</v>
      </c>
      <c r="B69" s="104" t="s">
        <v>85</v>
      </c>
      <c r="C69" s="15" t="s">
        <v>120</v>
      </c>
      <c r="D69" s="57"/>
      <c r="E69" s="21" t="s">
        <v>121</v>
      </c>
      <c r="F69" s="99" t="s">
        <v>32</v>
      </c>
      <c r="G69" s="13">
        <f>10*274*1.043</f>
        <v>2857.8199999999997</v>
      </c>
      <c r="H69" s="8">
        <v>7.0000000000000007E-2</v>
      </c>
      <c r="I69" s="18">
        <f t="shared" si="20"/>
        <v>3057.8674000000001</v>
      </c>
      <c r="J69" s="194">
        <v>4</v>
      </c>
      <c r="K69" s="194">
        <v>3</v>
      </c>
      <c r="L69" s="219">
        <f t="shared" si="21"/>
        <v>12231.4696</v>
      </c>
      <c r="M69" s="219">
        <f t="shared" si="22"/>
        <v>9173.6022000000012</v>
      </c>
      <c r="N69" s="20">
        <f t="shared" si="23"/>
        <v>21405.071800000002</v>
      </c>
      <c r="O69" s="216"/>
    </row>
    <row r="70" spans="1:15" x14ac:dyDescent="0.15">
      <c r="A70" s="35">
        <f>IF(G70&lt;&gt;"",1+MAX($A$6:A69),"")</f>
        <v>44</v>
      </c>
      <c r="B70" s="104" t="s">
        <v>85</v>
      </c>
      <c r="C70" s="15" t="s">
        <v>120</v>
      </c>
      <c r="D70" s="57"/>
      <c r="E70" s="21" t="s">
        <v>122</v>
      </c>
      <c r="F70" s="99" t="s">
        <v>32</v>
      </c>
      <c r="G70" s="13">
        <f>220*4.5*1.043</f>
        <v>1032.57</v>
      </c>
      <c r="H70" s="8">
        <v>7.0000000000000007E-2</v>
      </c>
      <c r="I70" s="18">
        <f t="shared" si="20"/>
        <v>1104.8498999999999</v>
      </c>
      <c r="J70" s="194">
        <v>4</v>
      </c>
      <c r="K70" s="194">
        <v>3</v>
      </c>
      <c r="L70" s="219">
        <f t="shared" si="21"/>
        <v>4419.3995999999997</v>
      </c>
      <c r="M70" s="219">
        <f t="shared" si="22"/>
        <v>3314.5496999999996</v>
      </c>
      <c r="N70" s="20">
        <f t="shared" si="23"/>
        <v>7733.9492999999993</v>
      </c>
      <c r="O70" s="216"/>
    </row>
    <row r="71" spans="1:15" x14ac:dyDescent="0.15">
      <c r="A71" s="35">
        <f>IF(G71&lt;&gt;"",1+MAX($A$6:A70),"")</f>
        <v>45</v>
      </c>
      <c r="B71" s="104" t="s">
        <v>85</v>
      </c>
      <c r="C71" s="15" t="s">
        <v>120</v>
      </c>
      <c r="D71" s="14"/>
      <c r="E71" s="21" t="s">
        <v>15</v>
      </c>
      <c r="F71" s="99" t="s">
        <v>16</v>
      </c>
      <c r="G71" s="13">
        <f>274*1.25*2</f>
        <v>685</v>
      </c>
      <c r="H71" s="8">
        <v>7.0000000000000007E-2</v>
      </c>
      <c r="I71" s="18">
        <f t="shared" si="20"/>
        <v>732.95</v>
      </c>
      <c r="J71" s="194">
        <v>2</v>
      </c>
      <c r="K71" s="194">
        <v>2</v>
      </c>
      <c r="L71" s="219">
        <f t="shared" si="21"/>
        <v>1465.9</v>
      </c>
      <c r="M71" s="219">
        <f t="shared" si="22"/>
        <v>1465.9</v>
      </c>
      <c r="N71" s="20">
        <f t="shared" si="23"/>
        <v>2931.8</v>
      </c>
      <c r="O71" s="216"/>
    </row>
    <row r="72" spans="1:15" x14ac:dyDescent="0.15">
      <c r="A72" s="35">
        <f>IF(G72&lt;&gt;"",1+MAX($A$6:A71),"")</f>
        <v>46</v>
      </c>
      <c r="B72" s="104" t="s">
        <v>85</v>
      </c>
      <c r="C72" s="15" t="s">
        <v>120</v>
      </c>
      <c r="D72" s="14"/>
      <c r="E72" s="21" t="s">
        <v>18</v>
      </c>
      <c r="F72" s="99" t="s">
        <v>13</v>
      </c>
      <c r="G72" s="13">
        <f>6*274*11/27</f>
        <v>669.77777777777783</v>
      </c>
      <c r="H72" s="50">
        <v>7.0000000000000007E-2</v>
      </c>
      <c r="I72" s="18">
        <f t="shared" si="20"/>
        <v>716.66222222222234</v>
      </c>
      <c r="J72" s="194">
        <v>0</v>
      </c>
      <c r="K72" s="194">
        <v>35</v>
      </c>
      <c r="L72" s="219">
        <f t="shared" si="21"/>
        <v>0</v>
      </c>
      <c r="M72" s="219">
        <f t="shared" si="22"/>
        <v>25083.177777777782</v>
      </c>
      <c r="N72" s="20">
        <f t="shared" si="23"/>
        <v>25083.177777777782</v>
      </c>
      <c r="O72" s="216"/>
    </row>
    <row r="73" spans="1:15" x14ac:dyDescent="0.15">
      <c r="A73" s="35">
        <f>IF(G73&lt;&gt;"",1+MAX($A$6:A72),"")</f>
        <v>47</v>
      </c>
      <c r="B73" s="104" t="s">
        <v>85</v>
      </c>
      <c r="C73" s="15" t="s">
        <v>120</v>
      </c>
      <c r="D73" s="14"/>
      <c r="E73" s="21" t="s">
        <v>17</v>
      </c>
      <c r="F73" s="99" t="s">
        <v>13</v>
      </c>
      <c r="G73" s="13">
        <f>G72-G68-G75-(1.67*11*274/27)</f>
        <v>328.59703703703713</v>
      </c>
      <c r="H73" s="50">
        <v>7.0000000000000007E-2</v>
      </c>
      <c r="I73" s="18">
        <f t="shared" si="20"/>
        <v>351.59882962962973</v>
      </c>
      <c r="J73" s="194">
        <v>0</v>
      </c>
      <c r="K73" s="194">
        <v>35</v>
      </c>
      <c r="L73" s="219">
        <f t="shared" si="21"/>
        <v>0</v>
      </c>
      <c r="M73" s="219">
        <f t="shared" si="22"/>
        <v>12305.959037037041</v>
      </c>
      <c r="N73" s="20">
        <f t="shared" si="23"/>
        <v>12305.959037037041</v>
      </c>
      <c r="O73" s="216"/>
    </row>
    <row r="74" spans="1:15" s="109" customFormat="1" ht="30" x14ac:dyDescent="0.2">
      <c r="A74" s="35">
        <f>IF(G74&lt;&gt;"",1+MAX($A$6:A73),"")</f>
        <v>48</v>
      </c>
      <c r="B74" s="104" t="s">
        <v>85</v>
      </c>
      <c r="C74" s="105" t="s">
        <v>120</v>
      </c>
      <c r="D74" s="106"/>
      <c r="E74" s="169" t="s">
        <v>123</v>
      </c>
      <c r="F74" s="108" t="s">
        <v>91</v>
      </c>
      <c r="G74" s="170">
        <v>274</v>
      </c>
      <c r="H74" s="171">
        <v>7.0000000000000007E-2</v>
      </c>
      <c r="I74" s="107">
        <f t="shared" ref="I74" si="24">G74*(1+H74)</f>
        <v>293.18</v>
      </c>
      <c r="J74" s="194">
        <v>19</v>
      </c>
      <c r="K74" s="194">
        <v>7</v>
      </c>
      <c r="L74" s="221">
        <f t="shared" si="21"/>
        <v>5570.42</v>
      </c>
      <c r="M74" s="221">
        <f t="shared" si="22"/>
        <v>2052.2600000000002</v>
      </c>
      <c r="N74" s="172">
        <f t="shared" ref="N74" si="25">L74+M74</f>
        <v>7622.68</v>
      </c>
      <c r="O74" s="222"/>
    </row>
    <row r="75" spans="1:15" s="109" customFormat="1" x14ac:dyDescent="0.15">
      <c r="A75" s="35">
        <f>IF(G75&lt;&gt;"",1+MAX($A$6:A74),"")</f>
        <v>49</v>
      </c>
      <c r="B75" s="104" t="s">
        <v>85</v>
      </c>
      <c r="C75" s="105" t="s">
        <v>120</v>
      </c>
      <c r="D75" s="106"/>
      <c r="E75" s="169" t="s">
        <v>124</v>
      </c>
      <c r="F75" s="108" t="s">
        <v>13</v>
      </c>
      <c r="G75" s="170">
        <f>1*9*274/27</f>
        <v>91.333333333333329</v>
      </c>
      <c r="H75" s="171">
        <v>7.0000000000000007E-2</v>
      </c>
      <c r="I75" s="107">
        <f t="shared" ref="I75" si="26">G75*(1+H75)</f>
        <v>97.726666666666674</v>
      </c>
      <c r="J75" s="223">
        <v>0</v>
      </c>
      <c r="K75" s="223">
        <v>35</v>
      </c>
      <c r="L75" s="221">
        <f t="shared" si="21"/>
        <v>0</v>
      </c>
      <c r="M75" s="221">
        <f t="shared" si="22"/>
        <v>3420.4333333333334</v>
      </c>
      <c r="N75" s="172">
        <f t="shared" ref="N75" si="27">L75+M75</f>
        <v>3420.4333333333334</v>
      </c>
      <c r="O75" s="222"/>
    </row>
    <row r="76" spans="1:15" ht="15.75" thickBot="1" x14ac:dyDescent="0.2">
      <c r="A76" s="35" t="str">
        <f>IF(G76&lt;&gt;"",1+MAX($A$6:A75),"")</f>
        <v/>
      </c>
      <c r="B76" s="104"/>
      <c r="C76" s="15"/>
      <c r="D76" s="14"/>
      <c r="E76" s="54"/>
      <c r="F76" s="174"/>
      <c r="G76" s="55"/>
      <c r="H76" s="50"/>
      <c r="I76" s="11"/>
      <c r="J76" s="220"/>
      <c r="K76" s="220"/>
      <c r="L76" s="220"/>
      <c r="M76" s="220"/>
      <c r="N76" s="20"/>
      <c r="O76" s="216"/>
    </row>
    <row r="77" spans="1:15" ht="15.75" thickBot="1" x14ac:dyDescent="0.2">
      <c r="A77" s="35" t="str">
        <f>IF(G77&lt;&gt;"",1+MAX($A$6:A76),"")</f>
        <v/>
      </c>
      <c r="B77" s="104"/>
      <c r="C77" s="42"/>
      <c r="D77" s="43"/>
      <c r="E77" s="240" t="s">
        <v>87</v>
      </c>
      <c r="F77" s="241"/>
      <c r="G77" s="242"/>
      <c r="H77" s="44"/>
      <c r="I77" s="45"/>
      <c r="J77" s="214"/>
      <c r="K77" s="214"/>
      <c r="L77" s="214"/>
      <c r="M77" s="214"/>
      <c r="N77" s="215"/>
      <c r="O77" s="216"/>
    </row>
    <row r="78" spans="1:15" ht="60" thickBot="1" x14ac:dyDescent="0.25">
      <c r="A78" s="35" t="str">
        <f>IF(G78&lt;&gt;"",1+MAX($A$6:A77),"")</f>
        <v/>
      </c>
      <c r="B78" s="104"/>
      <c r="C78" s="15"/>
      <c r="D78" s="15"/>
      <c r="E78" s="178" t="s">
        <v>129</v>
      </c>
      <c r="F78" s="173"/>
      <c r="G78" s="12"/>
      <c r="H78" s="17"/>
      <c r="I78" s="18"/>
      <c r="J78" s="217"/>
      <c r="K78" s="217"/>
      <c r="L78" s="217"/>
      <c r="M78" s="217"/>
      <c r="N78" s="218"/>
      <c r="O78" s="216"/>
    </row>
    <row r="79" spans="1:15" x14ac:dyDescent="0.15">
      <c r="A79" s="35">
        <f>IF(G79&lt;&gt;"",1+MAX($A$6:A78),"")</f>
        <v>50</v>
      </c>
      <c r="B79" s="104" t="s">
        <v>85</v>
      </c>
      <c r="C79" s="15" t="s">
        <v>130</v>
      </c>
      <c r="D79" s="14"/>
      <c r="E79" s="47" t="s">
        <v>25</v>
      </c>
      <c r="F79" s="99" t="s">
        <v>13</v>
      </c>
      <c r="G79" s="13">
        <f>34*0.67*4/27</f>
        <v>3.3748148148148149</v>
      </c>
      <c r="H79" s="8">
        <v>7.0000000000000007E-2</v>
      </c>
      <c r="I79" s="18">
        <f t="shared" ref="I79:I82" si="28">G79*(1+H79)</f>
        <v>3.6110518518518524</v>
      </c>
      <c r="J79" s="194">
        <v>600</v>
      </c>
      <c r="K79" s="194">
        <v>300</v>
      </c>
      <c r="L79" s="219">
        <f>J79*I79</f>
        <v>2166.6311111111113</v>
      </c>
      <c r="M79" s="219">
        <f>K79*I79</f>
        <v>1083.3155555555556</v>
      </c>
      <c r="N79" s="20">
        <f t="shared" ref="N79:N82" si="29">L79+M79</f>
        <v>3249.9466666666667</v>
      </c>
      <c r="O79" s="216"/>
    </row>
    <row r="80" spans="1:15" x14ac:dyDescent="0.15">
      <c r="A80" s="35">
        <f>IF(G80&lt;&gt;"",1+MAX($A$6:A79),"")</f>
        <v>51</v>
      </c>
      <c r="B80" s="104" t="s">
        <v>85</v>
      </c>
      <c r="C80" s="15" t="s">
        <v>130</v>
      </c>
      <c r="D80" s="57"/>
      <c r="E80" s="21" t="s">
        <v>126</v>
      </c>
      <c r="F80" s="99" t="s">
        <v>32</v>
      </c>
      <c r="G80" s="13">
        <f>((29*9)+(11*36))*1.043</f>
        <v>685.25099999999998</v>
      </c>
      <c r="H80" s="8">
        <v>7.0000000000000007E-2</v>
      </c>
      <c r="I80" s="18">
        <f t="shared" si="28"/>
        <v>733.21857</v>
      </c>
      <c r="J80" s="194">
        <v>4</v>
      </c>
      <c r="K80" s="194">
        <v>3</v>
      </c>
      <c r="L80" s="219">
        <f>J80*I80</f>
        <v>2932.87428</v>
      </c>
      <c r="M80" s="219">
        <f>K80*I80</f>
        <v>2199.65571</v>
      </c>
      <c r="N80" s="20">
        <f t="shared" si="29"/>
        <v>5132.52999</v>
      </c>
      <c r="O80" s="216"/>
    </row>
    <row r="81" spans="1:15" x14ac:dyDescent="0.15">
      <c r="A81" s="35">
        <f>IF(G81&lt;&gt;"",1+MAX($A$6:A80),"")</f>
        <v>52</v>
      </c>
      <c r="B81" s="104" t="s">
        <v>85</v>
      </c>
      <c r="C81" s="15" t="s">
        <v>130</v>
      </c>
      <c r="D81" s="57"/>
      <c r="E81" s="21" t="s">
        <v>128</v>
      </c>
      <c r="F81" s="99" t="s">
        <v>32</v>
      </c>
      <c r="G81" s="13">
        <f>(29*4.5)*1.043</f>
        <v>136.11149999999998</v>
      </c>
      <c r="H81" s="8">
        <v>7.0000000000000007E-2</v>
      </c>
      <c r="I81" s="18">
        <f t="shared" ref="I81" si="30">G81*(1+H81)</f>
        <v>145.63930499999998</v>
      </c>
      <c r="J81" s="194">
        <v>4</v>
      </c>
      <c r="K81" s="194">
        <v>3</v>
      </c>
      <c r="L81" s="219">
        <f>J81*I81</f>
        <v>582.55721999999992</v>
      </c>
      <c r="M81" s="219">
        <f>K81*I81</f>
        <v>436.91791499999994</v>
      </c>
      <c r="N81" s="20">
        <f t="shared" si="29"/>
        <v>1019.4751349999999</v>
      </c>
      <c r="O81" s="216"/>
    </row>
    <row r="82" spans="1:15" x14ac:dyDescent="0.15">
      <c r="A82" s="35">
        <f>IF(G82&lt;&gt;"",1+MAX($A$6:A81),"")</f>
        <v>53</v>
      </c>
      <c r="B82" s="104" t="s">
        <v>85</v>
      </c>
      <c r="C82" s="15" t="s">
        <v>130</v>
      </c>
      <c r="D82" s="14"/>
      <c r="E82" s="21" t="s">
        <v>15</v>
      </c>
      <c r="F82" s="99" t="s">
        <v>16</v>
      </c>
      <c r="G82" s="13">
        <f>36*13.5*2</f>
        <v>972</v>
      </c>
      <c r="H82" s="8">
        <v>7.0000000000000007E-2</v>
      </c>
      <c r="I82" s="18">
        <f t="shared" si="28"/>
        <v>1040.04</v>
      </c>
      <c r="J82" s="194">
        <v>2</v>
      </c>
      <c r="K82" s="194">
        <v>2</v>
      </c>
      <c r="L82" s="219">
        <f>J82*I82</f>
        <v>2080.08</v>
      </c>
      <c r="M82" s="219">
        <f>K82*I82</f>
        <v>2080.08</v>
      </c>
      <c r="N82" s="20">
        <f t="shared" si="29"/>
        <v>4160.16</v>
      </c>
      <c r="O82" s="216"/>
    </row>
    <row r="83" spans="1:15" ht="15.75" thickBot="1" x14ac:dyDescent="0.2">
      <c r="A83" s="35" t="str">
        <f>IF(G83&lt;&gt;"",1+MAX($A$6:A82),"")</f>
        <v/>
      </c>
      <c r="B83" s="104"/>
      <c r="C83" s="15"/>
      <c r="D83" s="14"/>
      <c r="E83" s="21"/>
      <c r="F83" s="99"/>
      <c r="G83" s="13"/>
      <c r="H83" s="50"/>
      <c r="I83" s="18"/>
      <c r="J83" s="219"/>
      <c r="K83" s="219"/>
      <c r="L83" s="219"/>
      <c r="M83" s="219"/>
      <c r="N83" s="20"/>
      <c r="O83" s="216"/>
    </row>
    <row r="84" spans="1:15" ht="60" thickBot="1" x14ac:dyDescent="0.25">
      <c r="A84" s="35" t="str">
        <f>IF(G84&lt;&gt;"",1+MAX($A$6:A83),"")</f>
        <v/>
      </c>
      <c r="B84" s="104"/>
      <c r="C84" s="15"/>
      <c r="D84" s="15"/>
      <c r="E84" s="16" t="s">
        <v>125</v>
      </c>
      <c r="F84" s="99"/>
      <c r="G84" s="12"/>
      <c r="H84" s="17"/>
      <c r="I84" s="18"/>
      <c r="J84" s="217"/>
      <c r="K84" s="217"/>
      <c r="L84" s="217"/>
      <c r="M84" s="217"/>
      <c r="N84" s="218"/>
      <c r="O84" s="216"/>
    </row>
    <row r="85" spans="1:15" x14ac:dyDescent="0.15">
      <c r="A85" s="35">
        <f>IF(G85&lt;&gt;"",1+MAX($A$6:A84),"")</f>
        <v>54</v>
      </c>
      <c r="B85" s="104" t="s">
        <v>85</v>
      </c>
      <c r="C85" s="15" t="s">
        <v>120</v>
      </c>
      <c r="D85" s="14"/>
      <c r="E85" s="47" t="s">
        <v>25</v>
      </c>
      <c r="F85" s="99" t="s">
        <v>13</v>
      </c>
      <c r="G85" s="13">
        <f>0.67*274*9/27</f>
        <v>61.193333333333335</v>
      </c>
      <c r="H85" s="8">
        <v>7.0000000000000007E-2</v>
      </c>
      <c r="I85" s="18">
        <f t="shared" ref="I85:I89" si="31">G85*(1+H85)</f>
        <v>65.476866666666666</v>
      </c>
      <c r="J85" s="194">
        <v>600</v>
      </c>
      <c r="K85" s="194">
        <v>300</v>
      </c>
      <c r="L85" s="219">
        <f>J85*I85</f>
        <v>39286.120000000003</v>
      </c>
      <c r="M85" s="219">
        <f>K85*I85</f>
        <v>19643.060000000001</v>
      </c>
      <c r="N85" s="20">
        <f t="shared" ref="N85:N89" si="32">L85+M85</f>
        <v>58929.180000000008</v>
      </c>
      <c r="O85" s="216"/>
    </row>
    <row r="86" spans="1:15" x14ac:dyDescent="0.15">
      <c r="A86" s="35">
        <f>IF(G86&lt;&gt;"",1+MAX($A$6:A85),"")</f>
        <v>55</v>
      </c>
      <c r="B86" s="104" t="s">
        <v>85</v>
      </c>
      <c r="C86" s="15" t="s">
        <v>120</v>
      </c>
      <c r="D86" s="57"/>
      <c r="E86" s="21" t="s">
        <v>126</v>
      </c>
      <c r="F86" s="99" t="s">
        <v>32</v>
      </c>
      <c r="G86" s="13">
        <f>((220*9)+(8*274))*1.043</f>
        <v>4351.3959999999997</v>
      </c>
      <c r="H86" s="8">
        <v>7.0000000000000007E-2</v>
      </c>
      <c r="I86" s="18">
        <f t="shared" si="31"/>
        <v>4655.9937200000004</v>
      </c>
      <c r="J86" s="194">
        <v>4</v>
      </c>
      <c r="K86" s="194">
        <v>3</v>
      </c>
      <c r="L86" s="219">
        <f>J86*I86</f>
        <v>18623.974880000002</v>
      </c>
      <c r="M86" s="219">
        <f>K86*I86</f>
        <v>13967.981160000001</v>
      </c>
      <c r="N86" s="20">
        <f t="shared" si="32"/>
        <v>32591.956040000005</v>
      </c>
      <c r="O86" s="216"/>
    </row>
    <row r="87" spans="1:15" x14ac:dyDescent="0.15">
      <c r="A87" s="35">
        <f>IF(G87&lt;&gt;"",1+MAX($A$6:A86),"")</f>
        <v>56</v>
      </c>
      <c r="B87" s="104" t="s">
        <v>85</v>
      </c>
      <c r="C87" s="15" t="s">
        <v>120</v>
      </c>
      <c r="D87" s="57"/>
      <c r="E87" s="21" t="s">
        <v>127</v>
      </c>
      <c r="F87" s="99" t="s">
        <v>32</v>
      </c>
      <c r="G87" s="13">
        <f>220*4.75*1.502</f>
        <v>1569.59</v>
      </c>
      <c r="H87" s="8">
        <v>7.0000000000000007E-2</v>
      </c>
      <c r="I87" s="18">
        <f t="shared" si="31"/>
        <v>1679.4612999999999</v>
      </c>
      <c r="J87" s="194">
        <v>4</v>
      </c>
      <c r="K87" s="194">
        <v>3</v>
      </c>
      <c r="L87" s="219">
        <f>J87*I87</f>
        <v>6717.8451999999997</v>
      </c>
      <c r="M87" s="219">
        <f>K87*I87</f>
        <v>5038.3838999999998</v>
      </c>
      <c r="N87" s="20">
        <f t="shared" si="32"/>
        <v>11756.2291</v>
      </c>
      <c r="O87" s="216"/>
    </row>
    <row r="88" spans="1:15" x14ac:dyDescent="0.15">
      <c r="A88" s="35">
        <f>IF(G88&lt;&gt;"",1+MAX($A$6:A87),"")</f>
        <v>57</v>
      </c>
      <c r="B88" s="104" t="s">
        <v>85</v>
      </c>
      <c r="C88" s="15" t="s">
        <v>120</v>
      </c>
      <c r="D88" s="57"/>
      <c r="E88" s="21" t="s">
        <v>128</v>
      </c>
      <c r="F88" s="99" t="s">
        <v>32</v>
      </c>
      <c r="G88" s="13">
        <f>220*5*1.043</f>
        <v>1147.3</v>
      </c>
      <c r="H88" s="8">
        <v>7.0000000000000007E-2</v>
      </c>
      <c r="I88" s="18">
        <f t="shared" ref="I88" si="33">G88*(1+H88)</f>
        <v>1227.6110000000001</v>
      </c>
      <c r="J88" s="194">
        <v>4</v>
      </c>
      <c r="K88" s="194">
        <v>3</v>
      </c>
      <c r="L88" s="219">
        <f>J88*I88</f>
        <v>4910.4440000000004</v>
      </c>
      <c r="M88" s="219">
        <f>K88*I88</f>
        <v>3682.8330000000005</v>
      </c>
      <c r="N88" s="20">
        <f t="shared" ref="N88" si="34">L88+M88</f>
        <v>8593.2770000000019</v>
      </c>
      <c r="O88" s="216"/>
    </row>
    <row r="89" spans="1:15" x14ac:dyDescent="0.15">
      <c r="A89" s="35">
        <f>IF(G89&lt;&gt;"",1+MAX($A$6:A88),"")</f>
        <v>58</v>
      </c>
      <c r="B89" s="104" t="s">
        <v>85</v>
      </c>
      <c r="C89" s="15" t="s">
        <v>120</v>
      </c>
      <c r="D89" s="14"/>
      <c r="E89" s="21" t="s">
        <v>15</v>
      </c>
      <c r="F89" s="99" t="s">
        <v>16</v>
      </c>
      <c r="G89" s="13">
        <f>274*9*2</f>
        <v>4932</v>
      </c>
      <c r="H89" s="8">
        <v>7.0000000000000007E-2</v>
      </c>
      <c r="I89" s="18">
        <f t="shared" si="31"/>
        <v>5277.2400000000007</v>
      </c>
      <c r="J89" s="194">
        <v>2</v>
      </c>
      <c r="K89" s="194">
        <v>2</v>
      </c>
      <c r="L89" s="219">
        <f>J89*I89</f>
        <v>10554.480000000001</v>
      </c>
      <c r="M89" s="219">
        <f>K89*I89</f>
        <v>10554.480000000001</v>
      </c>
      <c r="N89" s="20">
        <f t="shared" si="32"/>
        <v>21108.960000000003</v>
      </c>
      <c r="O89" s="216"/>
    </row>
    <row r="90" spans="1:15" ht="15.75" thickBot="1" x14ac:dyDescent="0.2">
      <c r="A90" s="35" t="str">
        <f>IF(G90&lt;&gt;"",1+MAX($A$6:A89),"")</f>
        <v/>
      </c>
      <c r="B90" s="104"/>
      <c r="C90" s="15"/>
      <c r="D90" s="14"/>
      <c r="E90" s="21"/>
      <c r="F90" s="99"/>
      <c r="G90" s="13"/>
      <c r="H90" s="50"/>
      <c r="I90" s="18"/>
      <c r="J90" s="219"/>
      <c r="K90" s="219"/>
      <c r="L90" s="219"/>
      <c r="M90" s="219"/>
      <c r="N90" s="20"/>
      <c r="O90" s="216"/>
    </row>
    <row r="91" spans="1:15" ht="60" thickBot="1" x14ac:dyDescent="0.25">
      <c r="A91" s="35" t="str">
        <f>IF(G91&lt;&gt;"",1+MAX($A$6:A90),"")</f>
        <v/>
      </c>
      <c r="B91" s="104"/>
      <c r="C91" s="15"/>
      <c r="D91" s="15"/>
      <c r="E91" s="16" t="s">
        <v>132</v>
      </c>
      <c r="F91" s="99"/>
      <c r="G91" s="12"/>
      <c r="H91" s="17"/>
      <c r="I91" s="18"/>
      <c r="J91" s="217"/>
      <c r="K91" s="217"/>
      <c r="L91" s="217"/>
      <c r="M91" s="217"/>
      <c r="N91" s="218"/>
      <c r="O91" s="216"/>
    </row>
    <row r="92" spans="1:15" x14ac:dyDescent="0.15">
      <c r="A92" s="35">
        <f>IF(G92&lt;&gt;"",1+MAX($A$6:A91),"")</f>
        <v>59</v>
      </c>
      <c r="B92" s="104" t="s">
        <v>85</v>
      </c>
      <c r="C92" s="15" t="s">
        <v>131</v>
      </c>
      <c r="D92" s="14"/>
      <c r="E92" s="47" t="s">
        <v>25</v>
      </c>
      <c r="F92" s="99" t="s">
        <v>13</v>
      </c>
      <c r="G92" s="13">
        <f>0.67*427*9/27</f>
        <v>95.363333333333344</v>
      </c>
      <c r="H92" s="8">
        <v>7.0000000000000007E-2</v>
      </c>
      <c r="I92" s="18">
        <f t="shared" ref="I92:I96" si="35">G92*(1+H92)</f>
        <v>102.03876666666669</v>
      </c>
      <c r="J92" s="194">
        <v>600</v>
      </c>
      <c r="K92" s="194">
        <v>300</v>
      </c>
      <c r="L92" s="219">
        <f>J92*I92</f>
        <v>61223.260000000017</v>
      </c>
      <c r="M92" s="219">
        <f>K92*I92</f>
        <v>30611.630000000008</v>
      </c>
      <c r="N92" s="20">
        <f t="shared" ref="N92:N96" si="36">L92+M92</f>
        <v>91834.890000000029</v>
      </c>
      <c r="O92" s="216"/>
    </row>
    <row r="93" spans="1:15" x14ac:dyDescent="0.15">
      <c r="A93" s="35">
        <f>IF(G93&lt;&gt;"",1+MAX($A$6:A92),"")</f>
        <v>60</v>
      </c>
      <c r="B93" s="104" t="s">
        <v>85</v>
      </c>
      <c r="C93" s="15" t="s">
        <v>131</v>
      </c>
      <c r="D93" s="57"/>
      <c r="E93" s="21" t="s">
        <v>126</v>
      </c>
      <c r="F93" s="99" t="s">
        <v>32</v>
      </c>
      <c r="G93" s="13">
        <f>((342*9)+(8*427))*1.043</f>
        <v>6773.2419999999993</v>
      </c>
      <c r="H93" s="8">
        <v>7.0000000000000007E-2</v>
      </c>
      <c r="I93" s="18">
        <f t="shared" si="35"/>
        <v>7247.3689399999994</v>
      </c>
      <c r="J93" s="194">
        <v>4</v>
      </c>
      <c r="K93" s="194">
        <v>3</v>
      </c>
      <c r="L93" s="219">
        <f>J93*I93</f>
        <v>28989.475759999998</v>
      </c>
      <c r="M93" s="219">
        <f>K93*I93</f>
        <v>21742.106819999997</v>
      </c>
      <c r="N93" s="20">
        <f t="shared" si="36"/>
        <v>50731.582579999995</v>
      </c>
      <c r="O93" s="216"/>
    </row>
    <row r="94" spans="1:15" x14ac:dyDescent="0.15">
      <c r="A94" s="35">
        <f>IF(G94&lt;&gt;"",1+MAX($A$6:A93),"")</f>
        <v>61</v>
      </c>
      <c r="B94" s="104" t="s">
        <v>85</v>
      </c>
      <c r="C94" s="15" t="s">
        <v>131</v>
      </c>
      <c r="D94" s="57"/>
      <c r="E94" s="21" t="s">
        <v>127</v>
      </c>
      <c r="F94" s="99" t="s">
        <v>32</v>
      </c>
      <c r="G94" s="13">
        <f>342*4.75*1.502</f>
        <v>2439.9989999999998</v>
      </c>
      <c r="H94" s="8">
        <v>7.0000000000000007E-2</v>
      </c>
      <c r="I94" s="18">
        <f t="shared" si="35"/>
        <v>2610.7989299999999</v>
      </c>
      <c r="J94" s="194">
        <v>4</v>
      </c>
      <c r="K94" s="194">
        <v>3</v>
      </c>
      <c r="L94" s="219">
        <f>J94*I94</f>
        <v>10443.19572</v>
      </c>
      <c r="M94" s="219">
        <f>K94*I94</f>
        <v>7832.3967899999998</v>
      </c>
      <c r="N94" s="20">
        <f t="shared" si="36"/>
        <v>18275.592509999999</v>
      </c>
      <c r="O94" s="216"/>
    </row>
    <row r="95" spans="1:15" x14ac:dyDescent="0.15">
      <c r="A95" s="35">
        <f>IF(G95&lt;&gt;"",1+MAX($A$6:A94),"")</f>
        <v>62</v>
      </c>
      <c r="B95" s="104" t="s">
        <v>85</v>
      </c>
      <c r="C95" s="15" t="s">
        <v>131</v>
      </c>
      <c r="D95" s="57"/>
      <c r="E95" s="21" t="s">
        <v>128</v>
      </c>
      <c r="F95" s="99" t="s">
        <v>32</v>
      </c>
      <c r="G95" s="13">
        <f>342*5*1.043</f>
        <v>1783.53</v>
      </c>
      <c r="H95" s="8">
        <v>7.0000000000000007E-2</v>
      </c>
      <c r="I95" s="18">
        <f t="shared" si="35"/>
        <v>1908.3771000000002</v>
      </c>
      <c r="J95" s="194">
        <v>4</v>
      </c>
      <c r="K95" s="194">
        <v>3</v>
      </c>
      <c r="L95" s="219">
        <f>J95*I95</f>
        <v>7633.5084000000006</v>
      </c>
      <c r="M95" s="219">
        <f>K95*I95</f>
        <v>5725.1313000000009</v>
      </c>
      <c r="N95" s="20">
        <f t="shared" si="36"/>
        <v>13358.639700000002</v>
      </c>
      <c r="O95" s="216"/>
    </row>
    <row r="96" spans="1:15" x14ac:dyDescent="0.15">
      <c r="A96" s="35">
        <f>IF(G96&lt;&gt;"",1+MAX($A$6:A95),"")</f>
        <v>63</v>
      </c>
      <c r="B96" s="104" t="s">
        <v>85</v>
      </c>
      <c r="C96" s="15" t="s">
        <v>131</v>
      </c>
      <c r="D96" s="14"/>
      <c r="E96" s="21" t="s">
        <v>15</v>
      </c>
      <c r="F96" s="99" t="s">
        <v>16</v>
      </c>
      <c r="G96" s="13">
        <f>427*9*2</f>
        <v>7686</v>
      </c>
      <c r="H96" s="8">
        <v>7.0000000000000007E-2</v>
      </c>
      <c r="I96" s="18">
        <f t="shared" si="35"/>
        <v>8224.02</v>
      </c>
      <c r="J96" s="194">
        <v>2</v>
      </c>
      <c r="K96" s="194">
        <v>2</v>
      </c>
      <c r="L96" s="219">
        <f>J96*I96</f>
        <v>16448.04</v>
      </c>
      <c r="M96" s="219">
        <f>K96*I96</f>
        <v>16448.04</v>
      </c>
      <c r="N96" s="20">
        <f t="shared" si="36"/>
        <v>32896.080000000002</v>
      </c>
      <c r="O96" s="216"/>
    </row>
    <row r="97" spans="1:15" ht="15.75" thickBot="1" x14ac:dyDescent="0.2">
      <c r="A97" s="35" t="str">
        <f>IF(G97&lt;&gt;"",1+MAX($A$6:A96),"")</f>
        <v/>
      </c>
      <c r="B97" s="104"/>
      <c r="C97" s="15"/>
      <c r="D97" s="14"/>
      <c r="E97" s="54"/>
      <c r="F97" s="174"/>
      <c r="G97" s="55"/>
      <c r="H97" s="50"/>
      <c r="I97" s="11"/>
      <c r="J97" s="220"/>
      <c r="K97" s="220"/>
      <c r="L97" s="220"/>
      <c r="M97" s="220"/>
      <c r="N97" s="20"/>
      <c r="O97" s="216"/>
    </row>
    <row r="98" spans="1:15" ht="15.75" thickBot="1" x14ac:dyDescent="0.2">
      <c r="A98" s="35" t="str">
        <f>IF(G98&lt;&gt;"",1+MAX($A$6:A97),"")</f>
        <v/>
      </c>
      <c r="B98" s="104"/>
      <c r="C98" s="42"/>
      <c r="D98" s="43"/>
      <c r="E98" s="240" t="s">
        <v>138</v>
      </c>
      <c r="F98" s="241"/>
      <c r="G98" s="242"/>
      <c r="H98" s="44"/>
      <c r="I98" s="45"/>
      <c r="J98" s="214"/>
      <c r="K98" s="214"/>
      <c r="L98" s="214"/>
      <c r="M98" s="214"/>
      <c r="N98" s="215"/>
      <c r="O98" s="216"/>
    </row>
    <row r="99" spans="1:15" ht="60" thickBot="1" x14ac:dyDescent="0.25">
      <c r="A99" s="35" t="str">
        <f>IF(G99&lt;&gt;"",1+MAX($A$6:A98),"")</f>
        <v/>
      </c>
      <c r="B99" s="104"/>
      <c r="C99" s="15"/>
      <c r="D99" s="15"/>
      <c r="E99" s="178" t="s">
        <v>139</v>
      </c>
      <c r="F99" s="173"/>
      <c r="G99" s="12"/>
      <c r="H99" s="17"/>
      <c r="I99" s="18"/>
      <c r="J99" s="217"/>
      <c r="K99" s="217"/>
      <c r="L99" s="217"/>
      <c r="M99" s="217"/>
      <c r="N99" s="218"/>
      <c r="O99" s="216"/>
    </row>
    <row r="100" spans="1:15" x14ac:dyDescent="0.15">
      <c r="A100" s="35">
        <f>IF(G100&lt;&gt;"",1+MAX($A$6:A99),"")</f>
        <v>64</v>
      </c>
      <c r="B100" s="104" t="s">
        <v>85</v>
      </c>
      <c r="C100" s="15" t="s">
        <v>140</v>
      </c>
      <c r="D100" s="14"/>
      <c r="E100" s="47" t="s">
        <v>25</v>
      </c>
      <c r="F100" s="99" t="s">
        <v>13</v>
      </c>
      <c r="G100" s="13">
        <f>9*1.5*1*22/27</f>
        <v>11</v>
      </c>
      <c r="H100" s="8">
        <v>7.0000000000000007E-2</v>
      </c>
      <c r="I100" s="18">
        <f t="shared" ref="I100:I103" si="37">G100*(1+H100)</f>
        <v>11.770000000000001</v>
      </c>
      <c r="J100" s="194">
        <v>600</v>
      </c>
      <c r="K100" s="194">
        <v>300</v>
      </c>
      <c r="L100" s="219">
        <f>J100*I100</f>
        <v>7062.0000000000009</v>
      </c>
      <c r="M100" s="219">
        <f>K100*I100</f>
        <v>3531.0000000000005</v>
      </c>
      <c r="N100" s="20">
        <f t="shared" ref="N100:N103" si="38">L100+M100</f>
        <v>10593.000000000002</v>
      </c>
      <c r="O100" s="216"/>
    </row>
    <row r="101" spans="1:15" x14ac:dyDescent="0.15">
      <c r="A101" s="35">
        <f>IF(G101&lt;&gt;"",1+MAX($A$6:A100),"")</f>
        <v>65</v>
      </c>
      <c r="B101" s="104" t="s">
        <v>85</v>
      </c>
      <c r="C101" s="15" t="s">
        <v>140</v>
      </c>
      <c r="D101" s="57"/>
      <c r="E101" s="21" t="s">
        <v>141</v>
      </c>
      <c r="F101" s="99" t="s">
        <v>32</v>
      </c>
      <c r="G101" s="13">
        <f>8*1.502*22</f>
        <v>264.35199999999998</v>
      </c>
      <c r="H101" s="8">
        <v>7.0000000000000007E-2</v>
      </c>
      <c r="I101" s="18">
        <f t="shared" si="37"/>
        <v>282.85663999999997</v>
      </c>
      <c r="J101" s="194">
        <v>4</v>
      </c>
      <c r="K101" s="194">
        <v>3</v>
      </c>
      <c r="L101" s="219">
        <f>J101*I101</f>
        <v>1131.4265599999999</v>
      </c>
      <c r="M101" s="219">
        <f>K101*I101</f>
        <v>848.56991999999991</v>
      </c>
      <c r="N101" s="20">
        <f t="shared" si="38"/>
        <v>1979.9964799999998</v>
      </c>
      <c r="O101" s="216"/>
    </row>
    <row r="102" spans="1:15" x14ac:dyDescent="0.15">
      <c r="A102" s="35">
        <f>IF(G102&lt;&gt;"",1+MAX($A$6:A101),"")</f>
        <v>66</v>
      </c>
      <c r="B102" s="104" t="s">
        <v>85</v>
      </c>
      <c r="C102" s="15" t="s">
        <v>140</v>
      </c>
      <c r="D102" s="57"/>
      <c r="E102" s="21" t="s">
        <v>142</v>
      </c>
      <c r="F102" s="99" t="s">
        <v>32</v>
      </c>
      <c r="G102" s="13">
        <f>5*19*22*0.668</f>
        <v>1396.1200000000001</v>
      </c>
      <c r="H102" s="8">
        <v>7.0000000000000007E-2</v>
      </c>
      <c r="I102" s="18">
        <f t="shared" si="37"/>
        <v>1493.8484000000003</v>
      </c>
      <c r="J102" s="194">
        <v>4</v>
      </c>
      <c r="K102" s="194">
        <v>3</v>
      </c>
      <c r="L102" s="219">
        <f>J102*I102</f>
        <v>5975.3936000000012</v>
      </c>
      <c r="M102" s="219">
        <f>K102*I102</f>
        <v>4481.5452000000005</v>
      </c>
      <c r="N102" s="20">
        <f t="shared" si="38"/>
        <v>10456.938800000002</v>
      </c>
      <c r="O102" s="216"/>
    </row>
    <row r="103" spans="1:15" x14ac:dyDescent="0.15">
      <c r="A103" s="35">
        <f>IF(G103&lt;&gt;"",1+MAX($A$6:A102),"")</f>
        <v>67</v>
      </c>
      <c r="B103" s="104" t="s">
        <v>85</v>
      </c>
      <c r="C103" s="15" t="s">
        <v>140</v>
      </c>
      <c r="D103" s="14"/>
      <c r="E103" s="21" t="s">
        <v>15</v>
      </c>
      <c r="F103" s="99" t="s">
        <v>16</v>
      </c>
      <c r="G103" s="13">
        <f>5*9*22</f>
        <v>990</v>
      </c>
      <c r="H103" s="8">
        <v>7.0000000000000007E-2</v>
      </c>
      <c r="I103" s="18">
        <f t="shared" si="37"/>
        <v>1059.3</v>
      </c>
      <c r="J103" s="194">
        <v>2</v>
      </c>
      <c r="K103" s="194">
        <v>2</v>
      </c>
      <c r="L103" s="219">
        <f>J103*I103</f>
        <v>2118.6</v>
      </c>
      <c r="M103" s="219">
        <f>K103*I103</f>
        <v>2118.6</v>
      </c>
      <c r="N103" s="20">
        <f t="shared" si="38"/>
        <v>4237.2</v>
      </c>
      <c r="O103" s="216"/>
    </row>
    <row r="104" spans="1:15" ht="15.75" thickBot="1" x14ac:dyDescent="0.2">
      <c r="A104" s="35" t="str">
        <f>IF(G104&lt;&gt;"",1+MAX($A$6:A103),"")</f>
        <v/>
      </c>
      <c r="B104" s="104"/>
      <c r="C104" s="15"/>
      <c r="D104" s="14"/>
      <c r="E104" s="54"/>
      <c r="F104" s="174"/>
      <c r="G104" s="55"/>
      <c r="H104" s="50"/>
      <c r="I104" s="11"/>
      <c r="J104" s="220"/>
      <c r="K104" s="220"/>
      <c r="L104" s="220"/>
      <c r="M104" s="220"/>
      <c r="N104" s="20"/>
      <c r="O104" s="216"/>
    </row>
    <row r="105" spans="1:15" ht="15.75" thickBot="1" x14ac:dyDescent="0.2">
      <c r="A105" s="35" t="str">
        <f>IF(G105&lt;&gt;"",1+MAX($A$6:A104),"")</f>
        <v/>
      </c>
      <c r="B105" s="104"/>
      <c r="C105" s="42"/>
      <c r="D105" s="43"/>
      <c r="E105" s="240" t="s">
        <v>432</v>
      </c>
      <c r="F105" s="241"/>
      <c r="G105" s="242"/>
      <c r="H105" s="44"/>
      <c r="I105" s="45"/>
      <c r="J105" s="214"/>
      <c r="K105" s="214"/>
      <c r="L105" s="214"/>
      <c r="M105" s="214"/>
      <c r="N105" s="215"/>
      <c r="O105" s="216"/>
    </row>
    <row r="106" spans="1:15" x14ac:dyDescent="0.15">
      <c r="A106" s="35">
        <f>IF(G106&lt;&gt;"",1+MAX($A$6:A105),"")</f>
        <v>68</v>
      </c>
      <c r="B106" s="104" t="s">
        <v>433</v>
      </c>
      <c r="C106" s="15"/>
      <c r="D106" s="14"/>
      <c r="E106" s="47" t="s">
        <v>434</v>
      </c>
      <c r="F106" s="99" t="s">
        <v>13</v>
      </c>
      <c r="G106" s="13">
        <f>80*0.67/27</f>
        <v>1.9851851851851852</v>
      </c>
      <c r="H106" s="8">
        <v>7.0000000000000007E-2</v>
      </c>
      <c r="I106" s="18">
        <f t="shared" ref="I106:I107" si="39">G106*(1+H106)</f>
        <v>2.1241481481481483</v>
      </c>
      <c r="J106" s="194">
        <v>600</v>
      </c>
      <c r="K106" s="194">
        <v>300</v>
      </c>
      <c r="L106" s="219">
        <f>J106*I106</f>
        <v>1274.4888888888891</v>
      </c>
      <c r="M106" s="219">
        <f>K106*I106</f>
        <v>637.24444444444453</v>
      </c>
      <c r="N106" s="20">
        <f t="shared" ref="N106:N107" si="40">L106+M106</f>
        <v>1911.7333333333336</v>
      </c>
      <c r="O106" s="216"/>
    </row>
    <row r="107" spans="1:15" x14ac:dyDescent="0.15">
      <c r="A107" s="35">
        <f>IF(G107&lt;&gt;"",1+MAX($A$6:A106),"")</f>
        <v>69</v>
      </c>
      <c r="B107" s="104" t="s">
        <v>433</v>
      </c>
      <c r="C107" s="15"/>
      <c r="D107" s="57"/>
      <c r="E107" s="21" t="s">
        <v>15</v>
      </c>
      <c r="F107" s="99" t="s">
        <v>16</v>
      </c>
      <c r="G107" s="13">
        <v>100</v>
      </c>
      <c r="H107" s="8">
        <v>7.0000000000000007E-2</v>
      </c>
      <c r="I107" s="18">
        <f t="shared" si="39"/>
        <v>107</v>
      </c>
      <c r="J107" s="194">
        <v>2</v>
      </c>
      <c r="K107" s="194">
        <v>2</v>
      </c>
      <c r="L107" s="219">
        <f>J107*I107</f>
        <v>214</v>
      </c>
      <c r="M107" s="219">
        <f>K107*I107</f>
        <v>214</v>
      </c>
      <c r="N107" s="20">
        <f t="shared" si="40"/>
        <v>428</v>
      </c>
      <c r="O107" s="216"/>
    </row>
    <row r="108" spans="1:15" ht="15.75" thickBot="1" x14ac:dyDescent="0.2">
      <c r="A108" s="35" t="str">
        <f>IF(G108&lt;&gt;"",1+MAX($A$6:A107),"")</f>
        <v/>
      </c>
      <c r="B108" s="104"/>
      <c r="C108" s="15"/>
      <c r="D108" s="14"/>
      <c r="E108" s="54"/>
      <c r="F108" s="174"/>
      <c r="G108" s="55"/>
      <c r="H108" s="50"/>
      <c r="I108" s="11"/>
      <c r="J108" s="220"/>
      <c r="K108" s="220"/>
      <c r="L108" s="220"/>
      <c r="M108" s="220"/>
      <c r="N108" s="20"/>
      <c r="O108" s="216"/>
    </row>
    <row r="109" spans="1:15" ht="15.75" thickBot="1" x14ac:dyDescent="0.2">
      <c r="A109" s="35" t="str">
        <f>IF(G109&lt;&gt;"",1+MAX($A$6:A108),"")</f>
        <v/>
      </c>
      <c r="B109" s="104"/>
      <c r="C109" s="42"/>
      <c r="D109" s="43"/>
      <c r="E109" s="240" t="s">
        <v>143</v>
      </c>
      <c r="F109" s="241"/>
      <c r="G109" s="242"/>
      <c r="H109" s="44"/>
      <c r="I109" s="45"/>
      <c r="J109" s="214"/>
      <c r="K109" s="214"/>
      <c r="L109" s="214"/>
      <c r="M109" s="214"/>
      <c r="N109" s="215"/>
      <c r="O109" s="216"/>
    </row>
    <row r="110" spans="1:15" ht="45.75" thickBot="1" x14ac:dyDescent="0.25">
      <c r="A110" s="35" t="str">
        <f>IF(G110&lt;&gt;"",1+MAX($A$6:A109),"")</f>
        <v/>
      </c>
      <c r="B110" s="104"/>
      <c r="C110" s="15"/>
      <c r="D110" s="15"/>
      <c r="E110" s="178" t="s">
        <v>144</v>
      </c>
      <c r="F110" s="173"/>
      <c r="G110" s="12"/>
      <c r="H110" s="17"/>
      <c r="I110" s="18"/>
      <c r="J110" s="217"/>
      <c r="K110" s="217"/>
      <c r="L110" s="217"/>
      <c r="M110" s="217"/>
      <c r="N110" s="218"/>
      <c r="O110" s="216"/>
    </row>
    <row r="111" spans="1:15" x14ac:dyDescent="0.15">
      <c r="A111" s="35">
        <f>IF(G111&lt;&gt;"",1+MAX($A$6:A110),"")</f>
        <v>70</v>
      </c>
      <c r="B111" s="104" t="s">
        <v>145</v>
      </c>
      <c r="C111" s="15" t="s">
        <v>146</v>
      </c>
      <c r="D111" s="14"/>
      <c r="E111" s="47" t="s">
        <v>25</v>
      </c>
      <c r="F111" s="99" t="s">
        <v>13</v>
      </c>
      <c r="G111" s="13">
        <f>1.5*0.67*354/27</f>
        <v>13.176666666666668</v>
      </c>
      <c r="H111" s="8">
        <v>7.0000000000000007E-2</v>
      </c>
      <c r="I111" s="18">
        <f t="shared" ref="I111:I114" si="41">G111*(1+H111)</f>
        <v>14.099033333333335</v>
      </c>
      <c r="J111" s="194">
        <v>600</v>
      </c>
      <c r="K111" s="194">
        <v>300</v>
      </c>
      <c r="L111" s="219">
        <f>J111*I111</f>
        <v>8459.42</v>
      </c>
      <c r="M111" s="219">
        <f>K111*I111</f>
        <v>4229.71</v>
      </c>
      <c r="N111" s="20">
        <f t="shared" ref="N111:N114" si="42">L111+M111</f>
        <v>12689.130000000001</v>
      </c>
      <c r="O111" s="216"/>
    </row>
    <row r="112" spans="1:15" x14ac:dyDescent="0.15">
      <c r="A112" s="35">
        <f>IF(G112&lt;&gt;"",1+MAX($A$6:A111),"")</f>
        <v>71</v>
      </c>
      <c r="B112" s="104" t="s">
        <v>85</v>
      </c>
      <c r="C112" s="15" t="s">
        <v>146</v>
      </c>
      <c r="D112" s="57"/>
      <c r="E112" s="21" t="s">
        <v>147</v>
      </c>
      <c r="F112" s="99" t="s">
        <v>32</v>
      </c>
      <c r="G112" s="13">
        <f>284*4.2*0.668</f>
        <v>796.79039999999998</v>
      </c>
      <c r="H112" s="8">
        <v>7.0000000000000007E-2</v>
      </c>
      <c r="I112" s="18">
        <f t="shared" si="41"/>
        <v>852.56572800000004</v>
      </c>
      <c r="J112" s="194">
        <v>4</v>
      </c>
      <c r="K112" s="194">
        <v>3</v>
      </c>
      <c r="L112" s="219">
        <f>J112*I112</f>
        <v>3410.2629120000001</v>
      </c>
      <c r="M112" s="219">
        <f>K112*I112</f>
        <v>2557.6971840000001</v>
      </c>
      <c r="N112" s="20">
        <f t="shared" si="42"/>
        <v>5967.9600960000007</v>
      </c>
      <c r="O112" s="216"/>
    </row>
    <row r="113" spans="1:18" x14ac:dyDescent="0.15">
      <c r="A113" s="35">
        <f>IF(G113&lt;&gt;"",1+MAX($A$6:A112),"")</f>
        <v>72</v>
      </c>
      <c r="B113" s="104" t="s">
        <v>85</v>
      </c>
      <c r="C113" s="15" t="s">
        <v>146</v>
      </c>
      <c r="D113" s="57"/>
      <c r="E113" s="21" t="s">
        <v>148</v>
      </c>
      <c r="F113" s="99" t="s">
        <v>32</v>
      </c>
      <c r="G113" s="13">
        <f>6*354*1.043</f>
        <v>2215.3319999999999</v>
      </c>
      <c r="H113" s="8">
        <v>7.0000000000000007E-2</v>
      </c>
      <c r="I113" s="18">
        <f t="shared" si="41"/>
        <v>2370.40524</v>
      </c>
      <c r="J113" s="194">
        <v>4</v>
      </c>
      <c r="K113" s="194">
        <v>3</v>
      </c>
      <c r="L113" s="219">
        <f>J113*I113</f>
        <v>9481.6209600000002</v>
      </c>
      <c r="M113" s="219">
        <f>K113*I113</f>
        <v>7111.2157200000001</v>
      </c>
      <c r="N113" s="20">
        <f t="shared" si="42"/>
        <v>16592.83668</v>
      </c>
      <c r="O113" s="216"/>
    </row>
    <row r="114" spans="1:18" x14ac:dyDescent="0.15">
      <c r="A114" s="35">
        <f>IF(G114&lt;&gt;"",1+MAX($A$6:A113),"")</f>
        <v>73</v>
      </c>
      <c r="B114" s="104" t="s">
        <v>85</v>
      </c>
      <c r="C114" s="15" t="s">
        <v>146</v>
      </c>
      <c r="D114" s="14"/>
      <c r="E114" s="21" t="s">
        <v>15</v>
      </c>
      <c r="F114" s="99" t="s">
        <v>16</v>
      </c>
      <c r="G114" s="13">
        <f>354*1.5*2</f>
        <v>1062</v>
      </c>
      <c r="H114" s="8">
        <v>7.0000000000000007E-2</v>
      </c>
      <c r="I114" s="18">
        <f t="shared" si="41"/>
        <v>1136.3400000000001</v>
      </c>
      <c r="J114" s="194">
        <v>2</v>
      </c>
      <c r="K114" s="194">
        <v>2</v>
      </c>
      <c r="L114" s="219">
        <f>J114*I114</f>
        <v>2272.6800000000003</v>
      </c>
      <c r="M114" s="219">
        <f>K114*I114</f>
        <v>2272.6800000000003</v>
      </c>
      <c r="N114" s="20">
        <f t="shared" si="42"/>
        <v>4545.3600000000006</v>
      </c>
      <c r="O114" s="216"/>
    </row>
    <row r="115" spans="1:18" ht="15.75" thickBot="1" x14ac:dyDescent="0.2">
      <c r="A115" s="35" t="str">
        <f>IF(G115&lt;&gt;"",1+MAX($A$6:A114),"")</f>
        <v/>
      </c>
      <c r="B115" s="104"/>
      <c r="C115" s="15"/>
      <c r="D115" s="14"/>
      <c r="E115" s="58"/>
      <c r="F115" s="174"/>
      <c r="G115" s="55"/>
      <c r="H115" s="50"/>
      <c r="I115" s="18"/>
      <c r="J115" s="219"/>
      <c r="K115" s="219"/>
      <c r="L115" s="219"/>
      <c r="M115" s="219"/>
      <c r="N115" s="20"/>
      <c r="O115" s="216"/>
    </row>
    <row r="116" spans="1:18" ht="15.75" thickBot="1" x14ac:dyDescent="0.2">
      <c r="A116" s="35" t="str">
        <f>IF(G116&lt;&gt;"",1+MAX($A$6:A115),"")</f>
        <v/>
      </c>
      <c r="B116" s="113"/>
      <c r="C116" s="42"/>
      <c r="D116" s="43"/>
      <c r="E116" s="240" t="s">
        <v>29</v>
      </c>
      <c r="F116" s="241"/>
      <c r="G116" s="242"/>
      <c r="H116" s="44"/>
      <c r="I116" s="18"/>
      <c r="J116" s="217"/>
      <c r="K116" s="217"/>
      <c r="L116" s="217"/>
      <c r="M116" s="217"/>
      <c r="N116" s="215"/>
      <c r="O116" s="216"/>
    </row>
    <row r="117" spans="1:18" ht="15.75" thickBot="1" x14ac:dyDescent="0.2">
      <c r="A117" s="35" t="str">
        <f>IF(G117&lt;&gt;"",1+MAX($A$6:A116),"")</f>
        <v/>
      </c>
      <c r="B117" s="104"/>
      <c r="C117" s="15"/>
      <c r="D117" s="15"/>
      <c r="E117" s="178" t="s">
        <v>26</v>
      </c>
      <c r="F117" s="173"/>
      <c r="G117" s="46"/>
      <c r="H117" s="17"/>
      <c r="I117" s="18"/>
      <c r="J117" s="220"/>
      <c r="K117" s="220"/>
      <c r="L117" s="220"/>
      <c r="M117" s="220"/>
      <c r="N117" s="20"/>
      <c r="O117" s="216"/>
    </row>
    <row r="118" spans="1:18" s="109" customFormat="1" x14ac:dyDescent="0.15">
      <c r="A118" s="35">
        <f>IF(G118&lt;&gt;"",1+MAX($A$6:A117),"")</f>
        <v>74</v>
      </c>
      <c r="B118" s="104" t="s">
        <v>85</v>
      </c>
      <c r="C118" s="105"/>
      <c r="D118" s="120"/>
      <c r="E118" s="123" t="s">
        <v>133</v>
      </c>
      <c r="F118" s="108" t="s">
        <v>12</v>
      </c>
      <c r="G118" s="124">
        <v>14105</v>
      </c>
      <c r="H118" s="121">
        <v>7.0000000000000007E-2</v>
      </c>
      <c r="I118" s="107">
        <f t="shared" ref="I118:I121" si="43">G118*(1+H118)</f>
        <v>15092.35</v>
      </c>
      <c r="J118" s="223">
        <v>5</v>
      </c>
      <c r="K118" s="223">
        <v>3</v>
      </c>
      <c r="L118" s="219">
        <f>J118*I118</f>
        <v>75461.75</v>
      </c>
      <c r="M118" s="219">
        <f>K118*I118</f>
        <v>45277.05</v>
      </c>
      <c r="N118" s="20">
        <f t="shared" ref="N118:N120" si="44">L118+M118</f>
        <v>120738.8</v>
      </c>
      <c r="O118" s="222"/>
      <c r="P118" s="122"/>
      <c r="Q118" s="122"/>
      <c r="R118" s="122"/>
    </row>
    <row r="119" spans="1:18" x14ac:dyDescent="0.15">
      <c r="A119" s="35">
        <f>IF(G119&lt;&gt;"",1+MAX($A$6:A118),"")</f>
        <v>75</v>
      </c>
      <c r="B119" s="104" t="s">
        <v>85</v>
      </c>
      <c r="C119" s="105"/>
      <c r="D119" s="59"/>
      <c r="E119" s="58" t="s">
        <v>134</v>
      </c>
      <c r="F119" s="99" t="s">
        <v>12</v>
      </c>
      <c r="G119" s="124">
        <v>14105</v>
      </c>
      <c r="H119" s="8">
        <v>7.0000000000000007E-2</v>
      </c>
      <c r="I119" s="18">
        <f t="shared" si="43"/>
        <v>15092.35</v>
      </c>
      <c r="J119" s="223">
        <v>2</v>
      </c>
      <c r="K119" s="223">
        <v>2</v>
      </c>
      <c r="L119" s="219">
        <f>J119*I119</f>
        <v>30184.7</v>
      </c>
      <c r="M119" s="219">
        <f>K119*I119</f>
        <v>30184.7</v>
      </c>
      <c r="N119" s="20">
        <f t="shared" si="44"/>
        <v>60369.4</v>
      </c>
      <c r="O119" s="216"/>
    </row>
    <row r="120" spans="1:18" x14ac:dyDescent="0.15">
      <c r="A120" s="35">
        <f>IF(G120&lt;&gt;"",1+MAX($A$6:A119),"")</f>
        <v>76</v>
      </c>
      <c r="B120" s="104" t="s">
        <v>85</v>
      </c>
      <c r="C120" s="15"/>
      <c r="D120" s="57"/>
      <c r="E120" s="21" t="s">
        <v>135</v>
      </c>
      <c r="F120" s="99" t="s">
        <v>32</v>
      </c>
      <c r="G120" s="13">
        <v>8986</v>
      </c>
      <c r="H120" s="8">
        <v>7.0000000000000007E-2</v>
      </c>
      <c r="I120" s="18">
        <f t="shared" si="43"/>
        <v>9615.02</v>
      </c>
      <c r="J120" s="194">
        <v>4</v>
      </c>
      <c r="K120" s="194">
        <v>3</v>
      </c>
      <c r="L120" s="219">
        <f>J120*I120</f>
        <v>38460.080000000002</v>
      </c>
      <c r="M120" s="219">
        <f>K120*I120</f>
        <v>28845.06</v>
      </c>
      <c r="N120" s="20">
        <f t="shared" si="44"/>
        <v>67305.14</v>
      </c>
      <c r="O120" s="216"/>
    </row>
    <row r="121" spans="1:18" x14ac:dyDescent="0.15">
      <c r="A121" s="35">
        <f>IF(G121&lt;&gt;"",1+MAX($A$6:A120),"")</f>
        <v>77</v>
      </c>
      <c r="B121" s="104" t="s">
        <v>85</v>
      </c>
      <c r="C121" s="105"/>
      <c r="D121" s="60"/>
      <c r="E121" s="58" t="s">
        <v>27</v>
      </c>
      <c r="F121" s="99" t="s">
        <v>13</v>
      </c>
      <c r="G121" s="13">
        <f>(14105*0.5)/27</f>
        <v>261.2037037037037</v>
      </c>
      <c r="H121" s="8">
        <v>7.0000000000000007E-2</v>
      </c>
      <c r="I121" s="18">
        <f t="shared" si="43"/>
        <v>279.48796296296297</v>
      </c>
      <c r="J121" s="223">
        <v>0</v>
      </c>
      <c r="K121" s="223">
        <v>0</v>
      </c>
      <c r="L121" s="219">
        <f>J121*I121</f>
        <v>0</v>
      </c>
      <c r="M121" s="219">
        <f>K121*I121</f>
        <v>0</v>
      </c>
      <c r="N121" s="20">
        <f>L121+M121</f>
        <v>0</v>
      </c>
      <c r="O121" s="216"/>
    </row>
    <row r="122" spans="1:18" ht="15.75" thickBot="1" x14ac:dyDescent="0.2">
      <c r="A122" s="35" t="str">
        <f>IF(G122&lt;&gt;"",1+MAX($A$6:A121),"")</f>
        <v/>
      </c>
      <c r="B122" s="104"/>
      <c r="C122" s="15"/>
      <c r="D122" s="14"/>
      <c r="E122" s="58"/>
      <c r="F122" s="99"/>
      <c r="G122" s="13"/>
      <c r="H122" s="17"/>
      <c r="I122" s="18"/>
      <c r="J122" s="220"/>
      <c r="K122" s="220"/>
      <c r="L122" s="220"/>
      <c r="M122" s="220"/>
      <c r="N122" s="20"/>
      <c r="O122" s="216"/>
    </row>
    <row r="123" spans="1:18" ht="15.75" thickBot="1" x14ac:dyDescent="0.2">
      <c r="A123" s="35" t="str">
        <f>IF(G123&lt;&gt;"",1+MAX($A$6:A122),"")</f>
        <v/>
      </c>
      <c r="B123" s="104"/>
      <c r="C123" s="15"/>
      <c r="D123" s="15"/>
      <c r="E123" s="16" t="s">
        <v>88</v>
      </c>
      <c r="F123" s="99"/>
      <c r="G123" s="46"/>
      <c r="H123" s="17"/>
      <c r="I123" s="18"/>
      <c r="J123" s="220"/>
      <c r="K123" s="220"/>
      <c r="L123" s="220"/>
      <c r="M123" s="220"/>
      <c r="N123" s="20"/>
      <c r="O123" s="216"/>
    </row>
    <row r="124" spans="1:18" x14ac:dyDescent="0.15">
      <c r="A124" s="35">
        <f>IF(G124&lt;&gt;"",1+MAX($A$6:A123),"")</f>
        <v>78</v>
      </c>
      <c r="B124" s="104" t="s">
        <v>85</v>
      </c>
      <c r="C124" s="15" t="s">
        <v>130</v>
      </c>
      <c r="D124" s="14"/>
      <c r="E124" s="47" t="s">
        <v>136</v>
      </c>
      <c r="F124" s="99" t="s">
        <v>13</v>
      </c>
      <c r="G124" s="13">
        <f>115*1.5/27</f>
        <v>6.3888888888888893</v>
      </c>
      <c r="H124" s="8">
        <v>7.0000000000000007E-2</v>
      </c>
      <c r="I124" s="18">
        <f t="shared" ref="I124:I126" si="45">G124*(1+H124)</f>
        <v>6.8361111111111121</v>
      </c>
      <c r="J124" s="194">
        <v>600</v>
      </c>
      <c r="K124" s="194">
        <v>300</v>
      </c>
      <c r="L124" s="219">
        <f>J124*I124</f>
        <v>4101.666666666667</v>
      </c>
      <c r="M124" s="219">
        <f>K124*I124</f>
        <v>2050.8333333333335</v>
      </c>
      <c r="N124" s="20">
        <f t="shared" ref="N124:N126" si="46">L124+M124</f>
        <v>6152.5</v>
      </c>
      <c r="O124" s="216"/>
    </row>
    <row r="125" spans="1:18" x14ac:dyDescent="0.15">
      <c r="A125" s="35">
        <f>IF(G125&lt;&gt;"",1+MAX($A$6:A124),"")</f>
        <v>79</v>
      </c>
      <c r="B125" s="104" t="s">
        <v>85</v>
      </c>
      <c r="C125" s="15" t="s">
        <v>130</v>
      </c>
      <c r="D125" s="57"/>
      <c r="E125" s="21" t="s">
        <v>137</v>
      </c>
      <c r="F125" s="99" t="s">
        <v>32</v>
      </c>
      <c r="G125" s="13">
        <f>(10*10*4)*1.043</f>
        <v>417.2</v>
      </c>
      <c r="H125" s="8">
        <v>7.0000000000000007E-2</v>
      </c>
      <c r="I125" s="18">
        <f t="shared" si="45"/>
        <v>446.404</v>
      </c>
      <c r="J125" s="194">
        <v>4</v>
      </c>
      <c r="K125" s="194">
        <v>3</v>
      </c>
      <c r="L125" s="219">
        <f>J125*I125</f>
        <v>1785.616</v>
      </c>
      <c r="M125" s="219">
        <f>K125*I125</f>
        <v>1339.212</v>
      </c>
      <c r="N125" s="20">
        <f t="shared" si="46"/>
        <v>3124.828</v>
      </c>
      <c r="O125" s="216"/>
    </row>
    <row r="126" spans="1:18" x14ac:dyDescent="0.15">
      <c r="A126" s="35">
        <f>IF(G126&lt;&gt;"",1+MAX($A$6:A125),"")</f>
        <v>80</v>
      </c>
      <c r="B126" s="104" t="s">
        <v>85</v>
      </c>
      <c r="C126" s="15" t="s">
        <v>130</v>
      </c>
      <c r="D126" s="14"/>
      <c r="E126" s="21" t="s">
        <v>18</v>
      </c>
      <c r="F126" s="99" t="s">
        <v>13</v>
      </c>
      <c r="G126" s="13">
        <f>115*5.5/27</f>
        <v>23.425925925925927</v>
      </c>
      <c r="H126" s="50">
        <v>7.0000000000000007E-2</v>
      </c>
      <c r="I126" s="18">
        <f t="shared" si="45"/>
        <v>25.065740740740743</v>
      </c>
      <c r="J126" s="223">
        <v>0</v>
      </c>
      <c r="K126" s="194">
        <v>35</v>
      </c>
      <c r="L126" s="219">
        <f>J126*I126</f>
        <v>0</v>
      </c>
      <c r="M126" s="219">
        <f>K126*I126</f>
        <v>877.30092592592598</v>
      </c>
      <c r="N126" s="20">
        <f t="shared" si="46"/>
        <v>877.30092592592598</v>
      </c>
      <c r="O126" s="216"/>
    </row>
    <row r="127" spans="1:18" ht="15.75" thickBot="1" x14ac:dyDescent="0.2">
      <c r="A127" s="35" t="str">
        <f>IF(G127&lt;&gt;"",1+MAX($A$6:A126),"")</f>
        <v/>
      </c>
      <c r="B127" s="104"/>
      <c r="C127" s="15"/>
      <c r="D127" s="14"/>
      <c r="E127" s="58"/>
      <c r="F127" s="99"/>
      <c r="G127" s="13"/>
      <c r="H127" s="17"/>
      <c r="I127" s="18"/>
      <c r="J127" s="220"/>
      <c r="K127" s="220"/>
      <c r="L127" s="220"/>
      <c r="M127" s="220"/>
      <c r="N127" s="20"/>
      <c r="O127" s="216"/>
    </row>
    <row r="128" spans="1:18" ht="15.75" thickBot="1" x14ac:dyDescent="0.2">
      <c r="A128" s="35" t="str">
        <f>IF(G128&lt;&gt;"",1+MAX($A$6:A127),"")</f>
        <v/>
      </c>
      <c r="B128" s="104"/>
      <c r="C128" s="15"/>
      <c r="D128" s="15"/>
      <c r="E128" s="16" t="s">
        <v>149</v>
      </c>
      <c r="F128" s="99"/>
      <c r="G128" s="46"/>
      <c r="H128" s="17"/>
      <c r="I128" s="18"/>
      <c r="J128" s="220"/>
      <c r="K128" s="220"/>
      <c r="L128" s="220"/>
      <c r="M128" s="220"/>
      <c r="N128" s="20"/>
      <c r="O128" s="216"/>
    </row>
    <row r="129" spans="1:16" x14ac:dyDescent="0.15">
      <c r="A129" s="35">
        <f>IF(G129&lt;&gt;"",1+MAX($A$6:A128),"")</f>
        <v>81</v>
      </c>
      <c r="B129" s="104" t="s">
        <v>145</v>
      </c>
      <c r="C129" s="15"/>
      <c r="D129" s="14"/>
      <c r="E129" s="47" t="s">
        <v>150</v>
      </c>
      <c r="F129" s="99" t="s">
        <v>13</v>
      </c>
      <c r="G129" s="13">
        <f>3860*0.67/27</f>
        <v>95.785185185185199</v>
      </c>
      <c r="H129" s="8">
        <v>7.0000000000000007E-2</v>
      </c>
      <c r="I129" s="18">
        <f t="shared" ref="I129:I131" si="47">G129*(1+H129)</f>
        <v>102.49014814814817</v>
      </c>
      <c r="J129" s="223">
        <v>600</v>
      </c>
      <c r="K129" s="223">
        <v>300</v>
      </c>
      <c r="L129" s="219">
        <f>J129*I129</f>
        <v>61494.088888888902</v>
      </c>
      <c r="M129" s="219">
        <f>K129*I129</f>
        <v>30747.044444444451</v>
      </c>
      <c r="N129" s="20">
        <f t="shared" ref="N129:N131" si="48">L129+M129</f>
        <v>92241.13333333336</v>
      </c>
      <c r="O129" s="216"/>
    </row>
    <row r="130" spans="1:16" x14ac:dyDescent="0.15">
      <c r="A130" s="35">
        <f>IF(G130&lt;&gt;"",1+MAX($A$6:A129),"")</f>
        <v>82</v>
      </c>
      <c r="B130" s="104" t="s">
        <v>145</v>
      </c>
      <c r="C130" s="15"/>
      <c r="D130" s="57"/>
      <c r="E130" s="21" t="s">
        <v>151</v>
      </c>
      <c r="F130" s="99" t="s">
        <v>12</v>
      </c>
      <c r="G130" s="13">
        <v>3860</v>
      </c>
      <c r="H130" s="8">
        <v>7.0000000000000007E-2</v>
      </c>
      <c r="I130" s="18">
        <f t="shared" si="47"/>
        <v>4130.2</v>
      </c>
      <c r="J130" s="223">
        <v>2</v>
      </c>
      <c r="K130" s="223">
        <v>2</v>
      </c>
      <c r="L130" s="219">
        <f>J130*I130</f>
        <v>8260.4</v>
      </c>
      <c r="M130" s="219">
        <f>K130*I130</f>
        <v>8260.4</v>
      </c>
      <c r="N130" s="20">
        <f t="shared" si="48"/>
        <v>16520.8</v>
      </c>
      <c r="O130" s="216"/>
    </row>
    <row r="131" spans="1:16" x14ac:dyDescent="0.15">
      <c r="A131" s="35">
        <f>IF(G131&lt;&gt;"",1+MAX($A$6:A130),"")</f>
        <v>83</v>
      </c>
      <c r="B131" s="104" t="s">
        <v>145</v>
      </c>
      <c r="C131" s="15"/>
      <c r="D131" s="14"/>
      <c r="E131" s="21" t="s">
        <v>152</v>
      </c>
      <c r="F131" s="99" t="s">
        <v>12</v>
      </c>
      <c r="G131" s="13">
        <v>3860</v>
      </c>
      <c r="H131" s="50">
        <v>7.0000000000000007E-2</v>
      </c>
      <c r="I131" s="18">
        <f t="shared" si="47"/>
        <v>4130.2</v>
      </c>
      <c r="J131" s="223">
        <v>8</v>
      </c>
      <c r="K131" s="223">
        <v>4</v>
      </c>
      <c r="L131" s="219">
        <f>J131*I131</f>
        <v>33041.599999999999</v>
      </c>
      <c r="M131" s="219">
        <f>K131*I131</f>
        <v>16520.8</v>
      </c>
      <c r="N131" s="20">
        <f t="shared" si="48"/>
        <v>49562.399999999994</v>
      </c>
      <c r="O131" s="216"/>
    </row>
    <row r="132" spans="1:16" ht="15.75" thickBot="1" x14ac:dyDescent="0.2">
      <c r="A132" s="35" t="str">
        <f>IF(G132&lt;&gt;"",1+MAX($A$6:A131),"")</f>
        <v/>
      </c>
      <c r="B132" s="104"/>
      <c r="C132" s="15"/>
      <c r="D132" s="14"/>
      <c r="E132" s="58"/>
      <c r="F132" s="99"/>
      <c r="G132" s="13"/>
      <c r="H132" s="17"/>
      <c r="I132" s="18"/>
      <c r="J132" s="220"/>
      <c r="K132" s="220"/>
      <c r="L132" s="220"/>
      <c r="M132" s="220"/>
      <c r="N132" s="20"/>
      <c r="O132" s="216"/>
    </row>
    <row r="133" spans="1:16" ht="15.75" thickBot="1" x14ac:dyDescent="0.2">
      <c r="A133" s="35" t="str">
        <f>IF(G133&lt;&gt;"",1+MAX($A$6:A132),"")</f>
        <v/>
      </c>
      <c r="B133" s="104"/>
      <c r="C133" s="15"/>
      <c r="D133" s="15"/>
      <c r="E133" s="16" t="s">
        <v>156</v>
      </c>
      <c r="F133" s="99"/>
      <c r="G133" s="46"/>
      <c r="H133" s="17"/>
      <c r="I133" s="18"/>
      <c r="J133" s="220"/>
      <c r="K133" s="220"/>
      <c r="L133" s="220"/>
      <c r="M133" s="220"/>
      <c r="N133" s="20"/>
      <c r="O133" s="216"/>
    </row>
    <row r="134" spans="1:16" x14ac:dyDescent="0.15">
      <c r="A134" s="35">
        <f>IF(G134&lt;&gt;"",1+MAX($A$6:A133),"")</f>
        <v>84</v>
      </c>
      <c r="B134" s="104" t="s">
        <v>145</v>
      </c>
      <c r="C134" s="15"/>
      <c r="D134" s="14"/>
      <c r="E134" s="47" t="s">
        <v>157</v>
      </c>
      <c r="F134" s="99" t="s">
        <v>13</v>
      </c>
      <c r="G134" s="13">
        <f>9582*1/27</f>
        <v>354.88888888888891</v>
      </c>
      <c r="H134" s="8">
        <v>7.0000000000000007E-2</v>
      </c>
      <c r="I134" s="18">
        <f t="shared" ref="I134" si="49">G134*(1+H134)</f>
        <v>379.73111111111115</v>
      </c>
      <c r="J134" s="223">
        <v>600</v>
      </c>
      <c r="K134" s="223">
        <v>300</v>
      </c>
      <c r="L134" s="219">
        <f>J134*I134</f>
        <v>227838.66666666669</v>
      </c>
      <c r="M134" s="219">
        <f>K134*I134</f>
        <v>113919.33333333334</v>
      </c>
      <c r="N134" s="20">
        <f t="shared" ref="N134" si="50">L134+M134</f>
        <v>341758</v>
      </c>
      <c r="O134" s="216"/>
    </row>
    <row r="135" spans="1:16" ht="15.75" thickBot="1" x14ac:dyDescent="0.2">
      <c r="A135" s="35" t="str">
        <f>IF(G135&lt;&gt;"",1+MAX($A$6:A134),"")</f>
        <v/>
      </c>
      <c r="B135" s="104"/>
      <c r="C135" s="15"/>
      <c r="D135" s="14"/>
      <c r="E135" s="58"/>
      <c r="F135" s="99"/>
      <c r="G135" s="13"/>
      <c r="H135" s="17"/>
      <c r="I135" s="18"/>
      <c r="J135" s="220"/>
      <c r="K135" s="220"/>
      <c r="L135" s="220"/>
      <c r="M135" s="220"/>
      <c r="N135" s="20"/>
      <c r="O135" s="216"/>
    </row>
    <row r="136" spans="1:16" ht="15.75" thickBot="1" x14ac:dyDescent="0.2">
      <c r="A136" s="35" t="str">
        <f>IF(G136&lt;&gt;"",1+MAX($A$6:A135),"")</f>
        <v/>
      </c>
      <c r="B136" s="104"/>
      <c r="C136" s="15"/>
      <c r="D136" s="15"/>
      <c r="E136" s="16" t="s">
        <v>153</v>
      </c>
      <c r="F136" s="99"/>
      <c r="G136" s="46"/>
      <c r="H136" s="17"/>
      <c r="I136" s="18"/>
      <c r="J136" s="220"/>
      <c r="K136" s="220"/>
      <c r="L136" s="220"/>
      <c r="M136" s="220"/>
      <c r="N136" s="20"/>
      <c r="O136" s="216"/>
    </row>
    <row r="137" spans="1:16" x14ac:dyDescent="0.15">
      <c r="A137" s="35">
        <f>IF(G137&lt;&gt;"",1+MAX($A$6:A136),"")</f>
        <v>85</v>
      </c>
      <c r="B137" s="104" t="s">
        <v>145</v>
      </c>
      <c r="C137" s="15"/>
      <c r="D137" s="14"/>
      <c r="E137" s="47" t="s">
        <v>154</v>
      </c>
      <c r="F137" s="99" t="s">
        <v>12</v>
      </c>
      <c r="G137" s="13">
        <v>84</v>
      </c>
      <c r="H137" s="8">
        <v>7.0000000000000007E-2</v>
      </c>
      <c r="I137" s="18">
        <f t="shared" ref="I137:I138" si="51">G137*(1+H137)</f>
        <v>89.88000000000001</v>
      </c>
      <c r="J137" s="223">
        <v>3</v>
      </c>
      <c r="K137" s="223">
        <v>3</v>
      </c>
      <c r="L137" s="219">
        <f>J137*I137</f>
        <v>269.64000000000004</v>
      </c>
      <c r="M137" s="219">
        <f>K137*I137</f>
        <v>269.64000000000004</v>
      </c>
      <c r="N137" s="20">
        <f t="shared" ref="N137:N138" si="52">L137+M137</f>
        <v>539.28000000000009</v>
      </c>
      <c r="O137" s="216"/>
    </row>
    <row r="138" spans="1:16" x14ac:dyDescent="0.15">
      <c r="A138" s="35">
        <f>IF(G138&lt;&gt;"",1+MAX($A$6:A137),"")</f>
        <v>86</v>
      </c>
      <c r="B138" s="104" t="s">
        <v>145</v>
      </c>
      <c r="C138" s="15"/>
      <c r="D138" s="57"/>
      <c r="E138" s="21" t="s">
        <v>155</v>
      </c>
      <c r="F138" s="99" t="s">
        <v>12</v>
      </c>
      <c r="G138" s="13">
        <v>84</v>
      </c>
      <c r="H138" s="8">
        <v>7.0000000000000007E-2</v>
      </c>
      <c r="I138" s="18">
        <f t="shared" si="51"/>
        <v>89.88000000000001</v>
      </c>
      <c r="J138" s="223">
        <v>4</v>
      </c>
      <c r="K138" s="223">
        <v>3</v>
      </c>
      <c r="L138" s="219">
        <f>J138*I138</f>
        <v>359.52000000000004</v>
      </c>
      <c r="M138" s="219">
        <f>K138*I138</f>
        <v>269.64000000000004</v>
      </c>
      <c r="N138" s="20">
        <f t="shared" si="52"/>
        <v>629.16000000000008</v>
      </c>
      <c r="O138" s="216"/>
    </row>
    <row r="139" spans="1:16" ht="15.75" thickBot="1" x14ac:dyDescent="0.2">
      <c r="A139" s="35" t="str">
        <f>IF(G139&lt;&gt;"",1+MAX($A$6:A138),"")</f>
        <v/>
      </c>
      <c r="B139" s="104"/>
      <c r="C139" s="15"/>
      <c r="D139" s="61"/>
      <c r="E139" s="58"/>
      <c r="F139" s="99"/>
      <c r="G139" s="13"/>
      <c r="H139" s="8"/>
      <c r="I139" s="18"/>
      <c r="J139" s="220"/>
      <c r="K139" s="220"/>
      <c r="L139" s="220"/>
      <c r="M139" s="220"/>
      <c r="N139" s="20"/>
      <c r="O139" s="216"/>
    </row>
    <row r="140" spans="1:16" ht="15.75" thickBot="1" x14ac:dyDescent="0.2">
      <c r="A140" s="35" t="str">
        <f>IF(G140&lt;&gt;"",1+MAX($A$6:A139),"")</f>
        <v/>
      </c>
      <c r="B140" s="106"/>
      <c r="C140" s="14"/>
      <c r="D140" s="62"/>
      <c r="E140" s="63" t="s">
        <v>38</v>
      </c>
      <c r="F140" s="99"/>
      <c r="G140" s="56"/>
      <c r="H140" s="64"/>
      <c r="I140" s="18"/>
      <c r="J140" s="224"/>
      <c r="K140" s="224"/>
      <c r="L140" s="224"/>
      <c r="M140" s="224"/>
      <c r="N140" s="65"/>
      <c r="O140" s="66">
        <f>SUM(N8:N139)</f>
        <v>1511252.1048765555</v>
      </c>
      <c r="P140" s="67"/>
    </row>
    <row r="141" spans="1:16" ht="15.75" thickBot="1" x14ac:dyDescent="0.2">
      <c r="A141" s="35" t="str">
        <f>IF(G141&lt;&gt;"",1+MAX($A$6:A140),"")</f>
        <v/>
      </c>
      <c r="B141" s="104"/>
      <c r="C141" s="15"/>
      <c r="D141" s="61"/>
      <c r="E141" s="47"/>
      <c r="F141" s="99"/>
      <c r="G141" s="13"/>
      <c r="H141" s="8"/>
      <c r="I141" s="18"/>
      <c r="J141" s="220"/>
      <c r="K141" s="220"/>
      <c r="L141" s="220"/>
      <c r="M141" s="220"/>
      <c r="N141" s="20"/>
      <c r="O141" s="216"/>
    </row>
    <row r="142" spans="1:16" s="41" customFormat="1" ht="15.75" thickBot="1" x14ac:dyDescent="0.2">
      <c r="A142" s="35" t="str">
        <f>IF(G142&lt;&gt;"",1+MAX($A$6:A141),"")</f>
        <v/>
      </c>
      <c r="B142" s="112"/>
      <c r="C142" s="36"/>
      <c r="D142" s="37" t="s">
        <v>39</v>
      </c>
      <c r="E142" s="38" t="s">
        <v>40</v>
      </c>
      <c r="F142" s="40"/>
      <c r="G142" s="39"/>
      <c r="H142" s="40"/>
      <c r="I142" s="40"/>
      <c r="J142" s="225"/>
      <c r="K142" s="225"/>
      <c r="L142" s="225"/>
      <c r="M142" s="225"/>
      <c r="N142" s="226"/>
      <c r="O142" s="213"/>
      <c r="P142" s="125"/>
    </row>
    <row r="143" spans="1:16" ht="15.75" thickBot="1" x14ac:dyDescent="0.2">
      <c r="A143" s="35" t="str">
        <f>IF(G143&lt;&gt;"",1+MAX($A$6:A142),"")</f>
        <v/>
      </c>
      <c r="B143" s="104"/>
      <c r="C143" s="42"/>
      <c r="D143" s="43"/>
      <c r="E143" s="240" t="s">
        <v>429</v>
      </c>
      <c r="F143" s="241"/>
      <c r="G143" s="242"/>
      <c r="H143" s="44"/>
      <c r="I143" s="45"/>
      <c r="J143" s="214"/>
      <c r="K143" s="214"/>
      <c r="L143" s="214"/>
      <c r="M143" s="214"/>
      <c r="N143" s="215"/>
      <c r="O143" s="216"/>
    </row>
    <row r="144" spans="1:16" x14ac:dyDescent="0.15">
      <c r="A144" s="35">
        <f>IF(G144&lt;&gt;"",1+MAX($A$6:A143),"")</f>
        <v>87</v>
      </c>
      <c r="B144" s="104" t="s">
        <v>440</v>
      </c>
      <c r="C144" s="15"/>
      <c r="D144" s="14"/>
      <c r="E144" s="167" t="s">
        <v>427</v>
      </c>
      <c r="F144" s="126" t="s">
        <v>91</v>
      </c>
      <c r="G144" s="166">
        <f>25*8</f>
        <v>200</v>
      </c>
      <c r="H144" s="50">
        <v>7.0000000000000007E-2</v>
      </c>
      <c r="I144" s="18">
        <f t="shared" ref="I144" si="53">G144*(1+H144)</f>
        <v>214</v>
      </c>
      <c r="J144" s="194">
        <v>70</v>
      </c>
      <c r="K144" s="194">
        <v>25</v>
      </c>
      <c r="L144" s="219">
        <f t="shared" ref="L144:L149" si="54">J144*I144</f>
        <v>14980</v>
      </c>
      <c r="M144" s="219">
        <f t="shared" ref="M144:M149" si="55">K144*I144</f>
        <v>5350</v>
      </c>
      <c r="N144" s="20">
        <f t="shared" ref="N144" si="56">L144+M144</f>
        <v>20330</v>
      </c>
      <c r="O144" s="216"/>
    </row>
    <row r="145" spans="1:16" x14ac:dyDescent="0.15">
      <c r="A145" s="35">
        <f>IF(G145&lt;&gt;"",1+MAX($A$6:A144),"")</f>
        <v>88</v>
      </c>
      <c r="B145" s="104" t="s">
        <v>440</v>
      </c>
      <c r="C145" s="15"/>
      <c r="D145" s="14"/>
      <c r="E145" s="167" t="s">
        <v>428</v>
      </c>
      <c r="F145" s="126" t="s">
        <v>91</v>
      </c>
      <c r="G145" s="166">
        <f>25*8</f>
        <v>200</v>
      </c>
      <c r="H145" s="50">
        <v>7.0000000000000007E-2</v>
      </c>
      <c r="I145" s="18">
        <f t="shared" ref="I145" si="57">G145*(1+H145)</f>
        <v>214</v>
      </c>
      <c r="J145" s="194">
        <v>50</v>
      </c>
      <c r="K145" s="194">
        <v>15</v>
      </c>
      <c r="L145" s="219">
        <f t="shared" si="54"/>
        <v>10700</v>
      </c>
      <c r="M145" s="219">
        <f t="shared" si="55"/>
        <v>3210</v>
      </c>
      <c r="N145" s="20">
        <f t="shared" ref="N145" si="58">L145+M145</f>
        <v>13910</v>
      </c>
      <c r="O145" s="216"/>
    </row>
    <row r="146" spans="1:16" x14ac:dyDescent="0.15">
      <c r="A146" s="35">
        <f>IF(G146&lt;&gt;"",1+MAX($A$6:A145),"")</f>
        <v>89</v>
      </c>
      <c r="B146" s="104" t="s">
        <v>440</v>
      </c>
      <c r="C146" s="15"/>
      <c r="D146" s="14"/>
      <c r="E146" s="167" t="s">
        <v>158</v>
      </c>
      <c r="F146" s="126" t="s">
        <v>91</v>
      </c>
      <c r="G146" s="126">
        <v>34.61</v>
      </c>
      <c r="H146" s="50">
        <v>7.0000000000000007E-2</v>
      </c>
      <c r="I146" s="18">
        <f t="shared" ref="I146" si="59">G146*(1+H146)</f>
        <v>37.032699999999998</v>
      </c>
      <c r="J146" s="194">
        <v>60</v>
      </c>
      <c r="K146" s="194">
        <v>25</v>
      </c>
      <c r="L146" s="219">
        <f t="shared" si="54"/>
        <v>2221.962</v>
      </c>
      <c r="M146" s="219">
        <f t="shared" si="55"/>
        <v>925.8175</v>
      </c>
      <c r="N146" s="20">
        <f t="shared" ref="N146" si="60">L146+M146</f>
        <v>3147.7795000000001</v>
      </c>
      <c r="O146" s="216"/>
    </row>
    <row r="147" spans="1:16" x14ac:dyDescent="0.15">
      <c r="A147" s="35">
        <f>IF(G147&lt;&gt;"",1+MAX($A$6:A146),"")</f>
        <v>90</v>
      </c>
      <c r="B147" s="104" t="s">
        <v>440</v>
      </c>
      <c r="C147" s="15"/>
      <c r="D147" s="14"/>
      <c r="E147" s="167" t="s">
        <v>159</v>
      </c>
      <c r="F147" s="126" t="s">
        <v>91</v>
      </c>
      <c r="G147" s="126">
        <v>348.56</v>
      </c>
      <c r="H147" s="50">
        <v>7.0000000000000007E-2</v>
      </c>
      <c r="I147" s="18">
        <f t="shared" ref="I147" si="61">G147*(1+H147)</f>
        <v>372.95920000000001</v>
      </c>
      <c r="J147" s="194">
        <v>80</v>
      </c>
      <c r="K147" s="194">
        <v>30</v>
      </c>
      <c r="L147" s="219">
        <f t="shared" si="54"/>
        <v>29836.736000000001</v>
      </c>
      <c r="M147" s="219">
        <f t="shared" si="55"/>
        <v>11188.776</v>
      </c>
      <c r="N147" s="20">
        <f t="shared" ref="N147" si="62">L147+M147</f>
        <v>41025.512000000002</v>
      </c>
      <c r="O147" s="216"/>
    </row>
    <row r="148" spans="1:16" x14ac:dyDescent="0.15">
      <c r="A148" s="35">
        <f>IF(G148&lt;&gt;"",1+MAX($A$6:A147),"")</f>
        <v>91</v>
      </c>
      <c r="B148" s="104" t="s">
        <v>440</v>
      </c>
      <c r="C148" s="15"/>
      <c r="D148" s="14"/>
      <c r="E148" s="167" t="s">
        <v>160</v>
      </c>
      <c r="F148" s="126" t="s">
        <v>91</v>
      </c>
      <c r="G148" s="126">
        <v>291.8</v>
      </c>
      <c r="H148" s="50">
        <v>7.0000000000000007E-2</v>
      </c>
      <c r="I148" s="18">
        <f t="shared" ref="I148" si="63">G148*(1+H148)</f>
        <v>312.22600000000006</v>
      </c>
      <c r="J148" s="194">
        <v>60</v>
      </c>
      <c r="K148" s="194">
        <v>25</v>
      </c>
      <c r="L148" s="219">
        <f t="shared" si="54"/>
        <v>18733.560000000005</v>
      </c>
      <c r="M148" s="219">
        <f t="shared" si="55"/>
        <v>7805.6500000000015</v>
      </c>
      <c r="N148" s="20">
        <f t="shared" ref="N148" si="64">L148+M148</f>
        <v>26539.210000000006</v>
      </c>
      <c r="O148" s="216"/>
    </row>
    <row r="149" spans="1:16" ht="15.75" thickBot="1" x14ac:dyDescent="0.2">
      <c r="A149" s="35">
        <f>IF(G149&lt;&gt;"",1+MAX($A$6:A148),"")</f>
        <v>92</v>
      </c>
      <c r="B149" s="104" t="s">
        <v>440</v>
      </c>
      <c r="C149" s="15"/>
      <c r="D149" s="14"/>
      <c r="E149" s="180" t="s">
        <v>161</v>
      </c>
      <c r="F149" s="129" t="s">
        <v>91</v>
      </c>
      <c r="G149" s="129">
        <v>95.81</v>
      </c>
      <c r="H149" s="50">
        <v>7.0000000000000007E-2</v>
      </c>
      <c r="I149" s="18">
        <f t="shared" ref="I149" si="65">G149*(1+H149)</f>
        <v>102.51670000000001</v>
      </c>
      <c r="J149" s="194">
        <v>60</v>
      </c>
      <c r="K149" s="194">
        <v>25</v>
      </c>
      <c r="L149" s="219">
        <f t="shared" si="54"/>
        <v>6151.0020000000004</v>
      </c>
      <c r="M149" s="219">
        <f t="shared" si="55"/>
        <v>2562.9175000000005</v>
      </c>
      <c r="N149" s="20">
        <f t="shared" ref="N149" si="66">L149+M149</f>
        <v>8713.9195</v>
      </c>
      <c r="O149" s="216"/>
    </row>
    <row r="150" spans="1:16" ht="15.75" thickBot="1" x14ac:dyDescent="0.2">
      <c r="A150" s="35" t="str">
        <f>IF(G150&lt;&gt;"",1+MAX($A$6:A149),"")</f>
        <v/>
      </c>
      <c r="B150" s="104"/>
      <c r="C150" s="42"/>
      <c r="D150" s="43"/>
      <c r="E150" s="240" t="s">
        <v>163</v>
      </c>
      <c r="F150" s="241"/>
      <c r="G150" s="242"/>
      <c r="H150" s="44"/>
      <c r="I150" s="45"/>
      <c r="J150" s="214"/>
      <c r="K150" s="214"/>
      <c r="L150" s="214"/>
      <c r="M150" s="214"/>
      <c r="N150" s="215"/>
      <c r="O150" s="216"/>
    </row>
    <row r="151" spans="1:16" ht="15.75" thickBot="1" x14ac:dyDescent="0.2">
      <c r="A151" s="35">
        <f>IF(G151&lt;&gt;"",1+MAX($A$6:A150),"")</f>
        <v>93</v>
      </c>
      <c r="B151" s="104"/>
      <c r="C151" s="15"/>
      <c r="D151" s="14"/>
      <c r="E151" s="181" t="s">
        <v>162</v>
      </c>
      <c r="F151" s="182" t="s">
        <v>12</v>
      </c>
      <c r="G151" s="182">
        <v>269.3</v>
      </c>
      <c r="H151" s="8">
        <v>7.0000000000000007E-2</v>
      </c>
      <c r="I151" s="18">
        <f t="shared" ref="I151" si="67">G151*(1+H151)</f>
        <v>288.15100000000001</v>
      </c>
      <c r="J151" s="194">
        <v>4</v>
      </c>
      <c r="K151" s="194">
        <v>3</v>
      </c>
      <c r="L151" s="219">
        <f>J151*I151</f>
        <v>1152.604</v>
      </c>
      <c r="M151" s="219">
        <f>K151*I151</f>
        <v>864.45299999999997</v>
      </c>
      <c r="N151" s="20">
        <f t="shared" ref="N151" si="68">L151+M151</f>
        <v>2017.057</v>
      </c>
      <c r="O151" s="216"/>
      <c r="P151" s="49"/>
    </row>
    <row r="152" spans="1:16" ht="15.75" thickBot="1" x14ac:dyDescent="0.2">
      <c r="A152" s="35" t="str">
        <f>IF(G152&lt;&gt;"",1+MAX($A$6:A151),"")</f>
        <v/>
      </c>
      <c r="B152" s="104"/>
      <c r="C152" s="42"/>
      <c r="D152" s="43"/>
      <c r="E152" s="240" t="s">
        <v>101</v>
      </c>
      <c r="F152" s="241"/>
      <c r="G152" s="242"/>
      <c r="H152" s="44"/>
      <c r="I152" s="45"/>
      <c r="J152" s="214"/>
      <c r="K152" s="214"/>
      <c r="L152" s="214"/>
      <c r="M152" s="214"/>
      <c r="N152" s="215"/>
      <c r="O152" s="216"/>
    </row>
    <row r="153" spans="1:16" x14ac:dyDescent="0.15">
      <c r="A153" s="35">
        <f>IF(G153&lt;&gt;"",1+MAX($A$6:A152),"")</f>
        <v>94</v>
      </c>
      <c r="B153" s="104" t="s">
        <v>438</v>
      </c>
      <c r="C153" s="15"/>
      <c r="D153" s="14"/>
      <c r="E153" s="167" t="s">
        <v>164</v>
      </c>
      <c r="F153" s="126" t="s">
        <v>31</v>
      </c>
      <c r="G153" s="126">
        <v>16</v>
      </c>
      <c r="H153" s="8">
        <v>7.0000000000000007E-2</v>
      </c>
      <c r="I153" s="18">
        <f t="shared" ref="I153" si="69">G153*(1+H153)</f>
        <v>17.12</v>
      </c>
      <c r="J153" s="194">
        <v>350</v>
      </c>
      <c r="K153" s="194">
        <v>150</v>
      </c>
      <c r="L153" s="219">
        <f>J153*I153</f>
        <v>5992</v>
      </c>
      <c r="M153" s="219">
        <f>K153*I153</f>
        <v>2568</v>
      </c>
      <c r="N153" s="20">
        <f t="shared" ref="N153" si="70">L153+M153</f>
        <v>8560</v>
      </c>
      <c r="O153" s="216"/>
      <c r="P153" s="49"/>
    </row>
    <row r="154" spans="1:16" x14ac:dyDescent="0.15">
      <c r="A154" s="35">
        <f>IF(G154&lt;&gt;"",1+MAX($A$6:A153),"")</f>
        <v>95</v>
      </c>
      <c r="B154" s="104" t="s">
        <v>438</v>
      </c>
      <c r="C154" s="15"/>
      <c r="D154" s="14"/>
      <c r="E154" s="167" t="s">
        <v>165</v>
      </c>
      <c r="F154" s="126" t="s">
        <v>31</v>
      </c>
      <c r="G154" s="126">
        <v>8</v>
      </c>
      <c r="H154" s="8">
        <v>7.0000000000000007E-2</v>
      </c>
      <c r="I154" s="18">
        <f t="shared" ref="I154" si="71">G154*(1+H154)</f>
        <v>8.56</v>
      </c>
      <c r="J154" s="194">
        <v>350</v>
      </c>
      <c r="K154" s="194">
        <v>150</v>
      </c>
      <c r="L154" s="219">
        <f>J154*I154</f>
        <v>2996</v>
      </c>
      <c r="M154" s="219">
        <f>K154*I154</f>
        <v>1284</v>
      </c>
      <c r="N154" s="20">
        <f t="shared" ref="N154" si="72">L154+M154</f>
        <v>4280</v>
      </c>
      <c r="O154" s="216"/>
      <c r="P154" s="49"/>
    </row>
    <row r="155" spans="1:16" ht="15.75" thickBot="1" x14ac:dyDescent="0.2">
      <c r="A155" s="35">
        <f>IF(G155&lt;&gt;"",1+MAX($A$6:A154),"")</f>
        <v>96</v>
      </c>
      <c r="B155" s="104" t="s">
        <v>438</v>
      </c>
      <c r="C155" s="15"/>
      <c r="D155" s="14"/>
      <c r="E155" s="167" t="s">
        <v>166</v>
      </c>
      <c r="F155" s="126" t="s">
        <v>31</v>
      </c>
      <c r="G155" s="126">
        <v>4</v>
      </c>
      <c r="H155" s="8">
        <v>7.0000000000000007E-2</v>
      </c>
      <c r="I155" s="18">
        <f t="shared" ref="I155:I157" si="73">G155*(1+H155)</f>
        <v>4.28</v>
      </c>
      <c r="J155" s="194">
        <v>350</v>
      </c>
      <c r="K155" s="194">
        <v>150</v>
      </c>
      <c r="L155" s="219">
        <f>J155*I155</f>
        <v>1498</v>
      </c>
      <c r="M155" s="219">
        <f>K155*I155</f>
        <v>642</v>
      </c>
      <c r="N155" s="20">
        <f t="shared" ref="N155:N157" si="74">L155+M155</f>
        <v>2140</v>
      </c>
      <c r="O155" s="216"/>
      <c r="P155" s="49"/>
    </row>
    <row r="156" spans="1:16" ht="15.75" thickBot="1" x14ac:dyDescent="0.2">
      <c r="A156" s="35" t="str">
        <f>IF(G156&lt;&gt;"",1+MAX($A$6:A155),"")</f>
        <v/>
      </c>
      <c r="B156" s="104"/>
      <c r="C156" s="42"/>
      <c r="D156" s="43"/>
      <c r="E156" s="240" t="s">
        <v>181</v>
      </c>
      <c r="F156" s="241"/>
      <c r="G156" s="242"/>
      <c r="H156" s="44"/>
      <c r="I156" s="45"/>
      <c r="J156" s="214"/>
      <c r="K156" s="214"/>
      <c r="L156" s="214"/>
      <c r="M156" s="214"/>
      <c r="N156" s="215"/>
      <c r="O156" s="216"/>
    </row>
    <row r="157" spans="1:16" x14ac:dyDescent="0.15">
      <c r="A157" s="35">
        <f>IF(G157&lt;&gt;"",1+MAX($A$6:A156),"")</f>
        <v>97</v>
      </c>
      <c r="B157" s="104" t="s">
        <v>438</v>
      </c>
      <c r="C157" s="15"/>
      <c r="D157" s="14"/>
      <c r="E157" s="167" t="s">
        <v>167</v>
      </c>
      <c r="F157" s="126" t="s">
        <v>31</v>
      </c>
      <c r="G157" s="126">
        <v>10</v>
      </c>
      <c r="H157" s="8">
        <v>7.0000000000000007E-2</v>
      </c>
      <c r="I157" s="18">
        <f t="shared" si="73"/>
        <v>10.700000000000001</v>
      </c>
      <c r="J157" s="194">
        <v>50</v>
      </c>
      <c r="K157" s="194">
        <v>25</v>
      </c>
      <c r="L157" s="219">
        <f t="shared" ref="L157:L174" si="75">J157*I157</f>
        <v>535</v>
      </c>
      <c r="M157" s="219">
        <f t="shared" ref="M157:M174" si="76">K157*I157</f>
        <v>267.5</v>
      </c>
      <c r="N157" s="20">
        <f t="shared" si="74"/>
        <v>802.5</v>
      </c>
      <c r="O157" s="216"/>
      <c r="P157" s="49"/>
    </row>
    <row r="158" spans="1:16" x14ac:dyDescent="0.15">
      <c r="A158" s="35">
        <f>IF(G158&lt;&gt;"",1+MAX($A$6:A157),"")</f>
        <v>98</v>
      </c>
      <c r="B158" s="104" t="s">
        <v>438</v>
      </c>
      <c r="C158" s="15"/>
      <c r="D158" s="14"/>
      <c r="E158" s="167" t="s">
        <v>168</v>
      </c>
      <c r="F158" s="126" t="s">
        <v>31</v>
      </c>
      <c r="G158" s="126">
        <v>57</v>
      </c>
      <c r="H158" s="8">
        <v>7.0000000000000007E-2</v>
      </c>
      <c r="I158" s="18">
        <f t="shared" ref="I158:I161" si="77">G158*(1+H158)</f>
        <v>60.99</v>
      </c>
      <c r="J158" s="194">
        <v>50</v>
      </c>
      <c r="K158" s="194">
        <v>25</v>
      </c>
      <c r="L158" s="219">
        <f t="shared" si="75"/>
        <v>3049.5</v>
      </c>
      <c r="M158" s="219">
        <f t="shared" si="76"/>
        <v>1524.75</v>
      </c>
      <c r="N158" s="20">
        <f t="shared" ref="N158:N161" si="78">L158+M158</f>
        <v>4574.25</v>
      </c>
      <c r="O158" s="216"/>
      <c r="P158" s="49"/>
    </row>
    <row r="159" spans="1:16" x14ac:dyDescent="0.15">
      <c r="A159" s="35">
        <f>IF(G159&lt;&gt;"",1+MAX($A$6:A158),"")</f>
        <v>99</v>
      </c>
      <c r="B159" s="104" t="s">
        <v>438</v>
      </c>
      <c r="C159" s="15"/>
      <c r="D159" s="14"/>
      <c r="E159" s="167" t="s">
        <v>169</v>
      </c>
      <c r="F159" s="126" t="s">
        <v>31</v>
      </c>
      <c r="G159" s="126">
        <v>15</v>
      </c>
      <c r="H159" s="8">
        <v>7.0000000000000007E-2</v>
      </c>
      <c r="I159" s="18">
        <f t="shared" si="77"/>
        <v>16.05</v>
      </c>
      <c r="J159" s="194">
        <v>50</v>
      </c>
      <c r="K159" s="194">
        <v>25</v>
      </c>
      <c r="L159" s="219">
        <f t="shared" si="75"/>
        <v>802.5</v>
      </c>
      <c r="M159" s="219">
        <f t="shared" si="76"/>
        <v>401.25</v>
      </c>
      <c r="N159" s="20">
        <f t="shared" si="78"/>
        <v>1203.75</v>
      </c>
      <c r="O159" s="216"/>
      <c r="P159" s="49"/>
    </row>
    <row r="160" spans="1:16" x14ac:dyDescent="0.15">
      <c r="A160" s="35">
        <f>IF(G160&lt;&gt;"",1+MAX($A$6:A159),"")</f>
        <v>100</v>
      </c>
      <c r="B160" s="104" t="s">
        <v>438</v>
      </c>
      <c r="C160" s="15"/>
      <c r="D160" s="14"/>
      <c r="E160" s="167" t="s">
        <v>170</v>
      </c>
      <c r="F160" s="126" t="s">
        <v>31</v>
      </c>
      <c r="G160" s="126">
        <v>3</v>
      </c>
      <c r="H160" s="8">
        <v>7.0000000000000007E-2</v>
      </c>
      <c r="I160" s="18">
        <f t="shared" si="77"/>
        <v>3.21</v>
      </c>
      <c r="J160" s="194">
        <v>50</v>
      </c>
      <c r="K160" s="194">
        <v>25</v>
      </c>
      <c r="L160" s="219">
        <f t="shared" si="75"/>
        <v>160.5</v>
      </c>
      <c r="M160" s="219">
        <f t="shared" si="76"/>
        <v>80.25</v>
      </c>
      <c r="N160" s="20">
        <f t="shared" si="78"/>
        <v>240.75</v>
      </c>
      <c r="O160" s="216"/>
      <c r="P160" s="49"/>
    </row>
    <row r="161" spans="1:16" x14ac:dyDescent="0.15">
      <c r="A161" s="35">
        <f>IF(G161&lt;&gt;"",1+MAX($A$6:A160),"")</f>
        <v>101</v>
      </c>
      <c r="B161" s="104" t="s">
        <v>438</v>
      </c>
      <c r="C161" s="15"/>
      <c r="D161" s="14"/>
      <c r="E161" s="167" t="s">
        <v>171</v>
      </c>
      <c r="F161" s="126" t="s">
        <v>31</v>
      </c>
      <c r="G161" s="126">
        <v>67</v>
      </c>
      <c r="H161" s="8">
        <v>7.0000000000000007E-2</v>
      </c>
      <c r="I161" s="18">
        <f t="shared" si="77"/>
        <v>71.69</v>
      </c>
      <c r="J161" s="194">
        <v>50</v>
      </c>
      <c r="K161" s="194">
        <v>25</v>
      </c>
      <c r="L161" s="219">
        <f t="shared" si="75"/>
        <v>3584.5</v>
      </c>
      <c r="M161" s="219">
        <f t="shared" si="76"/>
        <v>1792.25</v>
      </c>
      <c r="N161" s="20">
        <f t="shared" si="78"/>
        <v>5376.75</v>
      </c>
      <c r="O161" s="216"/>
      <c r="P161" s="49"/>
    </row>
    <row r="162" spans="1:16" x14ac:dyDescent="0.15">
      <c r="A162" s="35">
        <f>IF(G162&lt;&gt;"",1+MAX($A$6:A161),"")</f>
        <v>102</v>
      </c>
      <c r="B162" s="104" t="s">
        <v>438</v>
      </c>
      <c r="C162" s="15"/>
      <c r="D162" s="14"/>
      <c r="E162" s="167" t="s">
        <v>169</v>
      </c>
      <c r="F162" s="126" t="s">
        <v>31</v>
      </c>
      <c r="G162" s="126">
        <v>30</v>
      </c>
      <c r="H162" s="8">
        <v>7.0000000000000007E-2</v>
      </c>
      <c r="I162" s="18">
        <f t="shared" ref="I162:I170" si="79">G162*(1+H162)</f>
        <v>32.1</v>
      </c>
      <c r="J162" s="194">
        <v>50</v>
      </c>
      <c r="K162" s="194">
        <v>25</v>
      </c>
      <c r="L162" s="219">
        <f t="shared" si="75"/>
        <v>1605</v>
      </c>
      <c r="M162" s="219">
        <f t="shared" si="76"/>
        <v>802.5</v>
      </c>
      <c r="N162" s="20">
        <f t="shared" ref="N162:N170" si="80">L162+M162</f>
        <v>2407.5</v>
      </c>
      <c r="O162" s="216"/>
      <c r="P162" s="49"/>
    </row>
    <row r="163" spans="1:16" x14ac:dyDescent="0.15">
      <c r="A163" s="35">
        <f>IF(G163&lt;&gt;"",1+MAX($A$6:A162),"")</f>
        <v>103</v>
      </c>
      <c r="B163" s="104" t="s">
        <v>438</v>
      </c>
      <c r="C163" s="15"/>
      <c r="D163" s="14"/>
      <c r="E163" s="167" t="s">
        <v>169</v>
      </c>
      <c r="F163" s="126" t="s">
        <v>31</v>
      </c>
      <c r="G163" s="126">
        <v>50</v>
      </c>
      <c r="H163" s="8">
        <v>7.0000000000000007E-2</v>
      </c>
      <c r="I163" s="18">
        <f t="shared" si="79"/>
        <v>53.5</v>
      </c>
      <c r="J163" s="194">
        <v>50</v>
      </c>
      <c r="K163" s="194">
        <v>25</v>
      </c>
      <c r="L163" s="219">
        <f t="shared" si="75"/>
        <v>2675</v>
      </c>
      <c r="M163" s="219">
        <f t="shared" si="76"/>
        <v>1337.5</v>
      </c>
      <c r="N163" s="20">
        <f t="shared" si="80"/>
        <v>4012.5</v>
      </c>
      <c r="O163" s="216"/>
      <c r="P163" s="49"/>
    </row>
    <row r="164" spans="1:16" x14ac:dyDescent="0.15">
      <c r="A164" s="35">
        <f>IF(G164&lt;&gt;"",1+MAX($A$6:A163),"")</f>
        <v>104</v>
      </c>
      <c r="B164" s="104" t="s">
        <v>438</v>
      </c>
      <c r="C164" s="15"/>
      <c r="D164" s="14"/>
      <c r="E164" s="167" t="s">
        <v>172</v>
      </c>
      <c r="F164" s="126" t="s">
        <v>31</v>
      </c>
      <c r="G164" s="126">
        <v>48</v>
      </c>
      <c r="H164" s="8">
        <v>7.0000000000000007E-2</v>
      </c>
      <c r="I164" s="18">
        <f t="shared" si="79"/>
        <v>51.36</v>
      </c>
      <c r="J164" s="194">
        <v>50</v>
      </c>
      <c r="K164" s="194">
        <v>25</v>
      </c>
      <c r="L164" s="219">
        <f t="shared" si="75"/>
        <v>2568</v>
      </c>
      <c r="M164" s="219">
        <f t="shared" si="76"/>
        <v>1284</v>
      </c>
      <c r="N164" s="20">
        <f t="shared" si="80"/>
        <v>3852</v>
      </c>
      <c r="O164" s="216"/>
      <c r="P164" s="49"/>
    </row>
    <row r="165" spans="1:16" x14ac:dyDescent="0.15">
      <c r="A165" s="35">
        <f>IF(G165&lt;&gt;"",1+MAX($A$6:A164),"")</f>
        <v>105</v>
      </c>
      <c r="B165" s="104" t="s">
        <v>438</v>
      </c>
      <c r="C165" s="15"/>
      <c r="D165" s="14"/>
      <c r="E165" s="167" t="s">
        <v>173</v>
      </c>
      <c r="F165" s="126" t="s">
        <v>31</v>
      </c>
      <c r="G165" s="126">
        <v>52</v>
      </c>
      <c r="H165" s="8">
        <v>7.0000000000000007E-2</v>
      </c>
      <c r="I165" s="18">
        <f t="shared" si="79"/>
        <v>55.64</v>
      </c>
      <c r="J165" s="194">
        <v>50</v>
      </c>
      <c r="K165" s="194">
        <v>25</v>
      </c>
      <c r="L165" s="219">
        <f t="shared" si="75"/>
        <v>2782</v>
      </c>
      <c r="M165" s="219">
        <f t="shared" si="76"/>
        <v>1391</v>
      </c>
      <c r="N165" s="20">
        <f t="shared" si="80"/>
        <v>4173</v>
      </c>
      <c r="O165" s="216"/>
      <c r="P165" s="49"/>
    </row>
    <row r="166" spans="1:16" x14ac:dyDescent="0.15">
      <c r="A166" s="35">
        <f>IF(G166&lt;&gt;"",1+MAX($A$6:A165),"")</f>
        <v>106</v>
      </c>
      <c r="B166" s="104" t="s">
        <v>438</v>
      </c>
      <c r="C166" s="15"/>
      <c r="D166" s="14"/>
      <c r="E166" s="167" t="s">
        <v>174</v>
      </c>
      <c r="F166" s="126" t="s">
        <v>31</v>
      </c>
      <c r="G166" s="126">
        <v>4</v>
      </c>
      <c r="H166" s="8">
        <v>7.0000000000000007E-2</v>
      </c>
      <c r="I166" s="18">
        <f t="shared" si="79"/>
        <v>4.28</v>
      </c>
      <c r="J166" s="194">
        <v>50</v>
      </c>
      <c r="K166" s="194">
        <v>25</v>
      </c>
      <c r="L166" s="219">
        <f t="shared" si="75"/>
        <v>214</v>
      </c>
      <c r="M166" s="219">
        <f t="shared" si="76"/>
        <v>107</v>
      </c>
      <c r="N166" s="20">
        <f t="shared" si="80"/>
        <v>321</v>
      </c>
      <c r="O166" s="216"/>
      <c r="P166" s="49"/>
    </row>
    <row r="167" spans="1:16" x14ac:dyDescent="0.15">
      <c r="A167" s="35">
        <f>IF(G167&lt;&gt;"",1+MAX($A$6:A166),"")</f>
        <v>107</v>
      </c>
      <c r="B167" s="104" t="s">
        <v>438</v>
      </c>
      <c r="C167" s="15"/>
      <c r="D167" s="14"/>
      <c r="E167" s="167" t="s">
        <v>435</v>
      </c>
      <c r="F167" s="126" t="s">
        <v>31</v>
      </c>
      <c r="G167" s="126">
        <v>38</v>
      </c>
      <c r="H167" s="8">
        <v>7.0000000000000007E-2</v>
      </c>
      <c r="I167" s="18">
        <f t="shared" ref="I167" si="81">G167*(1+H167)</f>
        <v>40.660000000000004</v>
      </c>
      <c r="J167" s="194">
        <v>50</v>
      </c>
      <c r="K167" s="194">
        <v>25</v>
      </c>
      <c r="L167" s="219">
        <f t="shared" si="75"/>
        <v>2033.0000000000002</v>
      </c>
      <c r="M167" s="219">
        <f t="shared" si="76"/>
        <v>1016.5000000000001</v>
      </c>
      <c r="N167" s="20">
        <f t="shared" ref="N167" si="82">L167+M167</f>
        <v>3049.5000000000005</v>
      </c>
      <c r="O167" s="216"/>
      <c r="P167" s="49"/>
    </row>
    <row r="168" spans="1:16" x14ac:dyDescent="0.15">
      <c r="A168" s="35">
        <f>IF(G168&lt;&gt;"",1+MAX($A$6:A167),"")</f>
        <v>108</v>
      </c>
      <c r="B168" s="104" t="s">
        <v>438</v>
      </c>
      <c r="C168" s="15"/>
      <c r="D168" s="14"/>
      <c r="E168" s="167" t="s">
        <v>175</v>
      </c>
      <c r="F168" s="126" t="s">
        <v>31</v>
      </c>
      <c r="G168" s="126">
        <v>42</v>
      </c>
      <c r="H168" s="8">
        <v>7.0000000000000007E-2</v>
      </c>
      <c r="I168" s="18">
        <f t="shared" si="79"/>
        <v>44.940000000000005</v>
      </c>
      <c r="J168" s="194">
        <v>50</v>
      </c>
      <c r="K168" s="194">
        <v>25</v>
      </c>
      <c r="L168" s="219">
        <f t="shared" si="75"/>
        <v>2247.0000000000005</v>
      </c>
      <c r="M168" s="219">
        <f t="shared" si="76"/>
        <v>1123.5000000000002</v>
      </c>
      <c r="N168" s="20">
        <f t="shared" si="80"/>
        <v>3370.5000000000009</v>
      </c>
      <c r="O168" s="216"/>
      <c r="P168" s="49"/>
    </row>
    <row r="169" spans="1:16" x14ac:dyDescent="0.15">
      <c r="A169" s="35">
        <f>IF(G169&lt;&gt;"",1+MAX($A$6:A168),"")</f>
        <v>109</v>
      </c>
      <c r="B169" s="104" t="s">
        <v>438</v>
      </c>
      <c r="C169" s="15"/>
      <c r="D169" s="14"/>
      <c r="E169" s="167" t="s">
        <v>176</v>
      </c>
      <c r="F169" s="126" t="s">
        <v>31</v>
      </c>
      <c r="G169" s="126">
        <v>13</v>
      </c>
      <c r="H169" s="8">
        <v>7.0000000000000007E-2</v>
      </c>
      <c r="I169" s="18">
        <f t="shared" si="79"/>
        <v>13.91</v>
      </c>
      <c r="J169" s="194">
        <v>50</v>
      </c>
      <c r="K169" s="194">
        <v>25</v>
      </c>
      <c r="L169" s="219">
        <f t="shared" si="75"/>
        <v>695.5</v>
      </c>
      <c r="M169" s="219">
        <f t="shared" si="76"/>
        <v>347.75</v>
      </c>
      <c r="N169" s="20">
        <f t="shared" si="80"/>
        <v>1043.25</v>
      </c>
      <c r="O169" s="216"/>
      <c r="P169" s="49"/>
    </row>
    <row r="170" spans="1:16" x14ac:dyDescent="0.15">
      <c r="A170" s="35">
        <f>IF(G170&lt;&gt;"",1+MAX($A$6:A169),"")</f>
        <v>110</v>
      </c>
      <c r="B170" s="104" t="s">
        <v>438</v>
      </c>
      <c r="C170" s="15"/>
      <c r="D170" s="14"/>
      <c r="E170" s="167" t="s">
        <v>177</v>
      </c>
      <c r="F170" s="126" t="s">
        <v>31</v>
      </c>
      <c r="G170" s="126">
        <v>1</v>
      </c>
      <c r="H170" s="8">
        <v>7.0000000000000007E-2</v>
      </c>
      <c r="I170" s="18">
        <f t="shared" si="79"/>
        <v>1.07</v>
      </c>
      <c r="J170" s="194">
        <v>50</v>
      </c>
      <c r="K170" s="194">
        <v>25</v>
      </c>
      <c r="L170" s="219">
        <f t="shared" si="75"/>
        <v>53.5</v>
      </c>
      <c r="M170" s="219">
        <f t="shared" si="76"/>
        <v>26.75</v>
      </c>
      <c r="N170" s="20">
        <f t="shared" si="80"/>
        <v>80.25</v>
      </c>
      <c r="O170" s="216"/>
      <c r="P170" s="49"/>
    </row>
    <row r="171" spans="1:16" x14ac:dyDescent="0.15">
      <c r="A171" s="35">
        <f>IF(G171&lt;&gt;"",1+MAX($A$6:A170),"")</f>
        <v>111</v>
      </c>
      <c r="B171" s="104" t="s">
        <v>438</v>
      </c>
      <c r="C171" s="15"/>
      <c r="D171" s="14"/>
      <c r="E171" s="167" t="s">
        <v>178</v>
      </c>
      <c r="F171" s="126" t="s">
        <v>31</v>
      </c>
      <c r="G171" s="126">
        <v>1</v>
      </c>
      <c r="H171" s="8">
        <v>7.0000000000000007E-2</v>
      </c>
      <c r="I171" s="18">
        <f t="shared" ref="I171:I174" si="83">G171*(1+H171)</f>
        <v>1.07</v>
      </c>
      <c r="J171" s="194">
        <v>50</v>
      </c>
      <c r="K171" s="194">
        <v>25</v>
      </c>
      <c r="L171" s="219">
        <f t="shared" si="75"/>
        <v>53.5</v>
      </c>
      <c r="M171" s="219">
        <f t="shared" si="76"/>
        <v>26.75</v>
      </c>
      <c r="N171" s="20">
        <f t="shared" ref="N171:N174" si="84">L171+M171</f>
        <v>80.25</v>
      </c>
      <c r="O171" s="216"/>
      <c r="P171" s="49"/>
    </row>
    <row r="172" spans="1:16" x14ac:dyDescent="0.15">
      <c r="A172" s="35">
        <f>IF(G172&lt;&gt;"",1+MAX($A$6:A171),"")</f>
        <v>112</v>
      </c>
      <c r="B172" s="104" t="s">
        <v>438</v>
      </c>
      <c r="C172" s="15"/>
      <c r="D172" s="14"/>
      <c r="E172" s="167" t="s">
        <v>179</v>
      </c>
      <c r="F172" s="126" t="s">
        <v>31</v>
      </c>
      <c r="G172" s="126">
        <v>4</v>
      </c>
      <c r="H172" s="8">
        <v>7.0000000000000007E-2</v>
      </c>
      <c r="I172" s="18">
        <f t="shared" si="83"/>
        <v>4.28</v>
      </c>
      <c r="J172" s="194">
        <v>50</v>
      </c>
      <c r="K172" s="194">
        <v>25</v>
      </c>
      <c r="L172" s="219">
        <f t="shared" si="75"/>
        <v>214</v>
      </c>
      <c r="M172" s="219">
        <f t="shared" si="76"/>
        <v>107</v>
      </c>
      <c r="N172" s="20">
        <f t="shared" si="84"/>
        <v>321</v>
      </c>
      <c r="O172" s="216"/>
      <c r="P172" s="49"/>
    </row>
    <row r="173" spans="1:16" x14ac:dyDescent="0.15">
      <c r="A173" s="35">
        <f>IF(G173&lt;&gt;"",1+MAX($A$6:A172),"")</f>
        <v>113</v>
      </c>
      <c r="B173" s="104" t="s">
        <v>438</v>
      </c>
      <c r="C173" s="15"/>
      <c r="D173" s="14"/>
      <c r="E173" s="167" t="s">
        <v>180</v>
      </c>
      <c r="F173" s="126" t="s">
        <v>31</v>
      </c>
      <c r="G173" s="126">
        <v>2</v>
      </c>
      <c r="H173" s="8">
        <v>7.0000000000000007E-2</v>
      </c>
      <c r="I173" s="18">
        <f t="shared" si="83"/>
        <v>2.14</v>
      </c>
      <c r="J173" s="194">
        <v>50</v>
      </c>
      <c r="K173" s="194">
        <v>25</v>
      </c>
      <c r="L173" s="219">
        <f t="shared" si="75"/>
        <v>107</v>
      </c>
      <c r="M173" s="219">
        <f t="shared" si="76"/>
        <v>53.5</v>
      </c>
      <c r="N173" s="20">
        <f t="shared" si="84"/>
        <v>160.5</v>
      </c>
      <c r="O173" s="216"/>
      <c r="P173" s="49"/>
    </row>
    <row r="174" spans="1:16" x14ac:dyDescent="0.15">
      <c r="A174" s="35">
        <f>IF(G174&lt;&gt;"",1+MAX($A$6:A173),"")</f>
        <v>114</v>
      </c>
      <c r="B174" s="104" t="s">
        <v>438</v>
      </c>
      <c r="C174" s="15"/>
      <c r="D174" s="14"/>
      <c r="E174" s="193" t="s">
        <v>437</v>
      </c>
      <c r="F174" s="186" t="s">
        <v>31</v>
      </c>
      <c r="G174" s="186">
        <v>25</v>
      </c>
      <c r="H174" s="8">
        <v>7.0000000000000007E-2</v>
      </c>
      <c r="I174" s="18">
        <f t="shared" si="83"/>
        <v>26.75</v>
      </c>
      <c r="J174" s="194">
        <v>50</v>
      </c>
      <c r="K174" s="194">
        <v>25</v>
      </c>
      <c r="L174" s="219">
        <f t="shared" si="75"/>
        <v>1337.5</v>
      </c>
      <c r="M174" s="219">
        <f t="shared" si="76"/>
        <v>668.75</v>
      </c>
      <c r="N174" s="20">
        <f t="shared" si="84"/>
        <v>2006.25</v>
      </c>
      <c r="O174" s="216"/>
      <c r="P174" s="49"/>
    </row>
    <row r="175" spans="1:16" ht="15.75" thickBot="1" x14ac:dyDescent="0.2">
      <c r="A175" s="35" t="str">
        <f>IF(G175&lt;&gt;"",1+MAX($A$6:A174),"")</f>
        <v/>
      </c>
      <c r="B175" s="104"/>
      <c r="C175" s="15"/>
      <c r="D175" s="61"/>
      <c r="E175" s="58"/>
      <c r="F175" s="99"/>
      <c r="G175" s="13"/>
      <c r="H175" s="8"/>
      <c r="I175" s="18"/>
      <c r="J175" s="220"/>
      <c r="K175" s="220"/>
      <c r="L175" s="220"/>
      <c r="M175" s="220"/>
      <c r="N175" s="20"/>
      <c r="O175" s="216"/>
    </row>
    <row r="176" spans="1:16" ht="15.75" thickBot="1" x14ac:dyDescent="0.2">
      <c r="A176" s="35" t="str">
        <f>IF(G176&lt;&gt;"",1+MAX($A$6:A175),"")</f>
        <v/>
      </c>
      <c r="B176" s="106"/>
      <c r="C176" s="14"/>
      <c r="D176" s="62"/>
      <c r="E176" s="63" t="s">
        <v>38</v>
      </c>
      <c r="F176" s="99"/>
      <c r="G176" s="56"/>
      <c r="H176" s="64"/>
      <c r="I176" s="18"/>
      <c r="J176" s="224"/>
      <c r="K176" s="224"/>
      <c r="L176" s="224"/>
      <c r="M176" s="224"/>
      <c r="N176" s="65"/>
      <c r="O176" s="66">
        <f>SUM(N143:N175)</f>
        <v>167738.978</v>
      </c>
      <c r="P176" s="67"/>
    </row>
    <row r="177" spans="1:16" ht="15.75" thickBot="1" x14ac:dyDescent="0.2">
      <c r="A177" s="35" t="str">
        <f>IF(G177&lt;&gt;"",1+MAX($A$6:A176),"")</f>
        <v/>
      </c>
      <c r="B177" s="104"/>
      <c r="C177" s="15"/>
      <c r="D177" s="61"/>
      <c r="E177" s="47"/>
      <c r="F177" s="99"/>
      <c r="G177" s="13"/>
      <c r="H177" s="8"/>
      <c r="I177" s="18"/>
      <c r="J177" s="220"/>
      <c r="K177" s="220"/>
      <c r="L177" s="220"/>
      <c r="M177" s="220"/>
      <c r="N177" s="20"/>
      <c r="O177" s="216"/>
    </row>
    <row r="178" spans="1:16" s="41" customFormat="1" ht="15.75" thickBot="1" x14ac:dyDescent="0.2">
      <c r="A178" s="35" t="str">
        <f>IF(G178&lt;&gt;"",1+MAX($A$6:A177),"")</f>
        <v/>
      </c>
      <c r="B178" s="112"/>
      <c r="C178" s="36"/>
      <c r="D178" s="37" t="s">
        <v>41</v>
      </c>
      <c r="E178" s="38" t="s">
        <v>42</v>
      </c>
      <c r="F178" s="40"/>
      <c r="G178" s="39"/>
      <c r="H178" s="40"/>
      <c r="I178" s="40"/>
      <c r="J178" s="225"/>
      <c r="K178" s="225"/>
      <c r="L178" s="225"/>
      <c r="M178" s="225"/>
      <c r="N178" s="226"/>
      <c r="O178" s="213"/>
      <c r="P178" s="125"/>
    </row>
    <row r="179" spans="1:16" ht="15.75" thickBot="1" x14ac:dyDescent="0.2">
      <c r="A179" s="35" t="str">
        <f>IF(G179&lt;&gt;"",1+MAX($A$6:A178),"")</f>
        <v/>
      </c>
      <c r="B179" s="104"/>
      <c r="C179" s="42"/>
      <c r="D179" s="43"/>
      <c r="E179" s="240" t="s">
        <v>436</v>
      </c>
      <c r="F179" s="241"/>
      <c r="G179" s="242"/>
      <c r="H179" s="44"/>
      <c r="I179" s="45"/>
      <c r="J179" s="214"/>
      <c r="K179" s="214"/>
      <c r="L179" s="214"/>
      <c r="M179" s="214"/>
      <c r="N179" s="215"/>
      <c r="O179" s="216"/>
    </row>
    <row r="180" spans="1:16" x14ac:dyDescent="0.15">
      <c r="A180" s="35">
        <f>IF(G180&lt;&gt;"",1+MAX($A$6:A179),"")</f>
        <v>115</v>
      </c>
      <c r="B180" s="104" t="s">
        <v>438</v>
      </c>
      <c r="C180" s="15"/>
      <c r="D180" s="14"/>
      <c r="E180" s="190" t="s">
        <v>321</v>
      </c>
      <c r="F180" s="191" t="s">
        <v>31</v>
      </c>
      <c r="G180" s="191">
        <v>2</v>
      </c>
      <c r="H180" s="50">
        <v>7.0000000000000007E-2</v>
      </c>
      <c r="I180" s="18">
        <f t="shared" ref="I180:I181" si="85">G180*(1+H180)</f>
        <v>2.14</v>
      </c>
      <c r="J180" s="194">
        <f>9*5.4</f>
        <v>48.6</v>
      </c>
      <c r="K180" s="194">
        <f>9*3.3</f>
        <v>29.7</v>
      </c>
      <c r="L180" s="219">
        <f>J180*I180</f>
        <v>104.004</v>
      </c>
      <c r="M180" s="219">
        <f>K180*I180</f>
        <v>63.558</v>
      </c>
      <c r="N180" s="20">
        <f t="shared" ref="N180:N181" si="86">L180+M180</f>
        <v>167.56200000000001</v>
      </c>
      <c r="O180" s="216"/>
    </row>
    <row r="181" spans="1:16" x14ac:dyDescent="0.15">
      <c r="A181" s="35">
        <f>IF(G181&lt;&gt;"",1+MAX($A$6:A180),"")</f>
        <v>116</v>
      </c>
      <c r="B181" s="104" t="s">
        <v>438</v>
      </c>
      <c r="C181" s="15"/>
      <c r="D181" s="14"/>
      <c r="E181" s="190" t="s">
        <v>322</v>
      </c>
      <c r="F181" s="191" t="s">
        <v>31</v>
      </c>
      <c r="G181" s="191">
        <v>8</v>
      </c>
      <c r="H181" s="50">
        <v>7.0000000000000007E-2</v>
      </c>
      <c r="I181" s="53">
        <f t="shared" si="85"/>
        <v>8.56</v>
      </c>
      <c r="J181" s="194">
        <f>9*6.8</f>
        <v>61.199999999999996</v>
      </c>
      <c r="K181" s="194">
        <f>9*3.6</f>
        <v>32.4</v>
      </c>
      <c r="L181" s="219">
        <f>J181*I181</f>
        <v>523.87199999999996</v>
      </c>
      <c r="M181" s="219">
        <f>K181*I181</f>
        <v>277.34399999999999</v>
      </c>
      <c r="N181" s="20">
        <f t="shared" si="86"/>
        <v>801.21599999999989</v>
      </c>
      <c r="O181" s="216"/>
    </row>
    <row r="182" spans="1:16" x14ac:dyDescent="0.15">
      <c r="A182" s="35">
        <f>IF(G182&lt;&gt;"",1+MAX($A$6:A181),"")</f>
        <v>117</v>
      </c>
      <c r="B182" s="104" t="s">
        <v>438</v>
      </c>
      <c r="C182" s="15"/>
      <c r="D182" s="14"/>
      <c r="E182" s="190" t="s">
        <v>323</v>
      </c>
      <c r="F182" s="191" t="s">
        <v>31</v>
      </c>
      <c r="G182" s="191">
        <v>4</v>
      </c>
      <c r="H182" s="8">
        <v>7.0000000000000007E-2</v>
      </c>
      <c r="I182" s="18">
        <f t="shared" ref="I182:I183" si="87">G182*(1+H182)</f>
        <v>4.28</v>
      </c>
      <c r="J182" s="194">
        <f>9*8.8</f>
        <v>79.2</v>
      </c>
      <c r="K182" s="194">
        <f>9*4</f>
        <v>36</v>
      </c>
      <c r="L182" s="219">
        <f>J182*I182</f>
        <v>338.97600000000006</v>
      </c>
      <c r="M182" s="219">
        <f>K182*I182</f>
        <v>154.08000000000001</v>
      </c>
      <c r="N182" s="20">
        <f t="shared" ref="N182:N183" si="88">L182+M182</f>
        <v>493.05600000000004</v>
      </c>
      <c r="O182" s="216"/>
    </row>
    <row r="183" spans="1:16" ht="15.75" thickBot="1" x14ac:dyDescent="0.2">
      <c r="A183" s="35">
        <f>IF(G183&lt;&gt;"",1+MAX($A$6:A182),"")</f>
        <v>118</v>
      </c>
      <c r="B183" s="104" t="s">
        <v>438</v>
      </c>
      <c r="C183" s="15"/>
      <c r="D183" s="14"/>
      <c r="E183" s="190" t="s">
        <v>324</v>
      </c>
      <c r="F183" s="191" t="s">
        <v>31</v>
      </c>
      <c r="G183" s="191">
        <v>28</v>
      </c>
      <c r="H183" s="50">
        <v>7.0000000000000007E-2</v>
      </c>
      <c r="I183" s="53">
        <f t="shared" si="87"/>
        <v>29.96</v>
      </c>
      <c r="J183" s="194">
        <f>9*12.43</f>
        <v>111.87</v>
      </c>
      <c r="K183" s="194">
        <f>9*4.3</f>
        <v>38.699999999999996</v>
      </c>
      <c r="L183" s="219">
        <f>J183*I183</f>
        <v>3351.6252000000004</v>
      </c>
      <c r="M183" s="219">
        <f>K183*I183</f>
        <v>1159.452</v>
      </c>
      <c r="N183" s="20">
        <f t="shared" si="88"/>
        <v>4511.0772000000006</v>
      </c>
      <c r="O183" s="216"/>
    </row>
    <row r="184" spans="1:16" ht="15.75" thickBot="1" x14ac:dyDescent="0.2">
      <c r="A184" s="35" t="str">
        <f>IF(G184&lt;&gt;"",1+MAX($A$6:A183),"")</f>
        <v/>
      </c>
      <c r="B184" s="104"/>
      <c r="C184" s="42"/>
      <c r="D184" s="43"/>
      <c r="E184" s="240" t="s">
        <v>418</v>
      </c>
      <c r="F184" s="241"/>
      <c r="G184" s="242"/>
      <c r="H184" s="44"/>
      <c r="I184" s="45"/>
      <c r="J184" s="214"/>
      <c r="K184" s="214"/>
      <c r="L184" s="214"/>
      <c r="M184" s="214"/>
      <c r="N184" s="215"/>
      <c r="O184" s="216"/>
    </row>
    <row r="185" spans="1:16" x14ac:dyDescent="0.15">
      <c r="A185" s="35">
        <f>IF(G185&lt;&gt;"",1+MAX($A$6:A184),"")</f>
        <v>119</v>
      </c>
      <c r="B185" s="104" t="s">
        <v>438</v>
      </c>
      <c r="C185" s="15"/>
      <c r="D185" s="14"/>
      <c r="E185" s="190" t="s">
        <v>325</v>
      </c>
      <c r="F185" s="191" t="s">
        <v>31</v>
      </c>
      <c r="G185" s="191">
        <v>1</v>
      </c>
      <c r="H185" s="50">
        <v>7.0000000000000007E-2</v>
      </c>
      <c r="I185" s="18">
        <f t="shared" ref="I185" si="89">G185*(1+H185)</f>
        <v>1.07</v>
      </c>
      <c r="J185" s="194">
        <f>5.7*9</f>
        <v>51.300000000000004</v>
      </c>
      <c r="K185" s="194">
        <f>3.2*9</f>
        <v>28.8</v>
      </c>
      <c r="L185" s="219">
        <f t="shared" ref="L185:L216" si="90">J185*I185</f>
        <v>54.891000000000005</v>
      </c>
      <c r="M185" s="219">
        <f t="shared" ref="M185:M216" si="91">K185*I185</f>
        <v>30.816000000000003</v>
      </c>
      <c r="N185" s="20">
        <f t="shared" ref="N185" si="92">L185+M185</f>
        <v>85.707000000000008</v>
      </c>
      <c r="O185" s="216"/>
    </row>
    <row r="186" spans="1:16" x14ac:dyDescent="0.15">
      <c r="A186" s="35">
        <f>IF(G186&lt;&gt;"",1+MAX($A$6:A185),"")</f>
        <v>120</v>
      </c>
      <c r="B186" s="104" t="s">
        <v>438</v>
      </c>
      <c r="C186" s="15"/>
      <c r="D186" s="14"/>
      <c r="E186" s="190" t="s">
        <v>326</v>
      </c>
      <c r="F186" s="191" t="s">
        <v>31</v>
      </c>
      <c r="G186" s="191">
        <v>12</v>
      </c>
      <c r="H186" s="8">
        <v>7.0000000000000007E-2</v>
      </c>
      <c r="I186" s="18">
        <f t="shared" ref="I186:I190" si="93">G186*(1+H186)</f>
        <v>12.84</v>
      </c>
      <c r="J186" s="194">
        <f>5.7*6</f>
        <v>34.200000000000003</v>
      </c>
      <c r="K186" s="194">
        <f>3.2*6</f>
        <v>19.200000000000003</v>
      </c>
      <c r="L186" s="219">
        <f t="shared" si="90"/>
        <v>439.12800000000004</v>
      </c>
      <c r="M186" s="219">
        <f t="shared" si="91"/>
        <v>246.52800000000002</v>
      </c>
      <c r="N186" s="20">
        <f t="shared" ref="N186:N190" si="94">L186+M186</f>
        <v>685.65600000000006</v>
      </c>
      <c r="O186" s="216"/>
    </row>
    <row r="187" spans="1:16" x14ac:dyDescent="0.15">
      <c r="A187" s="35">
        <f>IF(G187&lt;&gt;"",1+MAX($A$6:A186),"")</f>
        <v>121</v>
      </c>
      <c r="B187" s="104" t="s">
        <v>438</v>
      </c>
      <c r="C187" s="15"/>
      <c r="D187" s="57"/>
      <c r="E187" s="190" t="s">
        <v>327</v>
      </c>
      <c r="F187" s="191" t="s">
        <v>31</v>
      </c>
      <c r="G187" s="191">
        <v>5</v>
      </c>
      <c r="H187" s="8">
        <v>7.0000000000000007E-2</v>
      </c>
      <c r="I187" s="18">
        <f t="shared" si="93"/>
        <v>5.3500000000000005</v>
      </c>
      <c r="J187" s="194">
        <f>5.7*4</f>
        <v>22.8</v>
      </c>
      <c r="K187" s="194">
        <f>3.2*4</f>
        <v>12.8</v>
      </c>
      <c r="L187" s="219">
        <f t="shared" si="90"/>
        <v>121.98000000000002</v>
      </c>
      <c r="M187" s="219">
        <f t="shared" si="91"/>
        <v>68.48</v>
      </c>
      <c r="N187" s="20">
        <f t="shared" si="94"/>
        <v>190.46000000000004</v>
      </c>
      <c r="O187" s="216"/>
    </row>
    <row r="188" spans="1:16" x14ac:dyDescent="0.15">
      <c r="A188" s="35">
        <f>IF(G188&lt;&gt;"",1+MAX($A$6:A187),"")</f>
        <v>122</v>
      </c>
      <c r="B188" s="104" t="s">
        <v>438</v>
      </c>
      <c r="C188" s="15"/>
      <c r="D188" s="14"/>
      <c r="E188" s="190" t="s">
        <v>328</v>
      </c>
      <c r="F188" s="191" t="s">
        <v>31</v>
      </c>
      <c r="G188" s="191">
        <v>7</v>
      </c>
      <c r="H188" s="8">
        <v>7.0000000000000007E-2</v>
      </c>
      <c r="I188" s="18">
        <f t="shared" si="93"/>
        <v>7.49</v>
      </c>
      <c r="J188" s="194">
        <f>5.7*3</f>
        <v>17.100000000000001</v>
      </c>
      <c r="K188" s="194">
        <f>3.2*3</f>
        <v>9.6000000000000014</v>
      </c>
      <c r="L188" s="219">
        <f t="shared" si="90"/>
        <v>128.07900000000001</v>
      </c>
      <c r="M188" s="219">
        <f t="shared" si="91"/>
        <v>71.904000000000011</v>
      </c>
      <c r="N188" s="20">
        <f t="shared" si="94"/>
        <v>199.983</v>
      </c>
      <c r="O188" s="216"/>
    </row>
    <row r="189" spans="1:16" x14ac:dyDescent="0.15">
      <c r="A189" s="35">
        <f>IF(G189&lt;&gt;"",1+MAX($A$6:A188),"")</f>
        <v>123</v>
      </c>
      <c r="B189" s="104" t="s">
        <v>438</v>
      </c>
      <c r="C189" s="15"/>
      <c r="D189" s="14"/>
      <c r="E189" s="190" t="s">
        <v>329</v>
      </c>
      <c r="F189" s="191" t="s">
        <v>31</v>
      </c>
      <c r="G189" s="191">
        <v>1</v>
      </c>
      <c r="H189" s="50">
        <v>7.0000000000000007E-2</v>
      </c>
      <c r="I189" s="18">
        <f t="shared" si="93"/>
        <v>1.07</v>
      </c>
      <c r="J189" s="194">
        <f>5.7*5</f>
        <v>28.5</v>
      </c>
      <c r="K189" s="194">
        <f>3.2*5</f>
        <v>16</v>
      </c>
      <c r="L189" s="219">
        <f t="shared" si="90"/>
        <v>30.495000000000001</v>
      </c>
      <c r="M189" s="219">
        <f t="shared" si="91"/>
        <v>17.12</v>
      </c>
      <c r="N189" s="20">
        <f t="shared" si="94"/>
        <v>47.615000000000002</v>
      </c>
      <c r="O189" s="216"/>
    </row>
    <row r="190" spans="1:16" x14ac:dyDescent="0.15">
      <c r="A190" s="35">
        <f>IF(G190&lt;&gt;"",1+MAX($A$6:A189),"")</f>
        <v>124</v>
      </c>
      <c r="B190" s="104" t="s">
        <v>438</v>
      </c>
      <c r="C190" s="15"/>
      <c r="D190" s="14"/>
      <c r="E190" s="190" t="s">
        <v>330</v>
      </c>
      <c r="F190" s="191" t="s">
        <v>31</v>
      </c>
      <c r="G190" s="191">
        <v>8</v>
      </c>
      <c r="H190" s="50">
        <v>7.0000000000000007E-2</v>
      </c>
      <c r="I190" s="18">
        <f t="shared" si="93"/>
        <v>8.56</v>
      </c>
      <c r="J190" s="194">
        <f>5.7*4</f>
        <v>22.8</v>
      </c>
      <c r="K190" s="194">
        <f>3.2*4</f>
        <v>12.8</v>
      </c>
      <c r="L190" s="219">
        <f t="shared" si="90"/>
        <v>195.16800000000001</v>
      </c>
      <c r="M190" s="219">
        <f t="shared" si="91"/>
        <v>109.56800000000001</v>
      </c>
      <c r="N190" s="20">
        <f t="shared" si="94"/>
        <v>304.73599999999999</v>
      </c>
      <c r="O190" s="216"/>
    </row>
    <row r="191" spans="1:16" x14ac:dyDescent="0.15">
      <c r="A191" s="35">
        <f>IF(G191&lt;&gt;"",1+MAX($A$6:A190),"")</f>
        <v>125</v>
      </c>
      <c r="B191" s="104" t="s">
        <v>438</v>
      </c>
      <c r="C191" s="15"/>
      <c r="D191" s="57"/>
      <c r="E191" s="190" t="s">
        <v>331</v>
      </c>
      <c r="F191" s="191" t="s">
        <v>31</v>
      </c>
      <c r="G191" s="191">
        <v>2</v>
      </c>
      <c r="H191" s="8">
        <v>7.0000000000000007E-2</v>
      </c>
      <c r="I191" s="18">
        <f t="shared" ref="I191:I204" si="95">G191*(1+H191)</f>
        <v>2.14</v>
      </c>
      <c r="J191" s="194">
        <f>5.7*6</f>
        <v>34.200000000000003</v>
      </c>
      <c r="K191" s="194">
        <f>3.2*6</f>
        <v>19.200000000000003</v>
      </c>
      <c r="L191" s="219">
        <f t="shared" si="90"/>
        <v>73.188000000000017</v>
      </c>
      <c r="M191" s="219">
        <f t="shared" si="91"/>
        <v>41.088000000000008</v>
      </c>
      <c r="N191" s="20">
        <f t="shared" ref="N191:N204" si="96">L191+M191</f>
        <v>114.27600000000002</v>
      </c>
      <c r="O191" s="216"/>
    </row>
    <row r="192" spans="1:16" x14ac:dyDescent="0.15">
      <c r="A192" s="35">
        <f>IF(G192&lt;&gt;"",1+MAX($A$6:A191),"")</f>
        <v>126</v>
      </c>
      <c r="B192" s="104" t="s">
        <v>438</v>
      </c>
      <c r="C192" s="15"/>
      <c r="D192" s="14"/>
      <c r="E192" s="190" t="s">
        <v>332</v>
      </c>
      <c r="F192" s="191" t="s">
        <v>31</v>
      </c>
      <c r="G192" s="191">
        <v>14</v>
      </c>
      <c r="H192" s="8">
        <v>7.0000000000000007E-2</v>
      </c>
      <c r="I192" s="18">
        <f t="shared" si="95"/>
        <v>14.98</v>
      </c>
      <c r="J192" s="194">
        <f>5.7*3</f>
        <v>17.100000000000001</v>
      </c>
      <c r="K192" s="194">
        <f>3.2*3</f>
        <v>9.6000000000000014</v>
      </c>
      <c r="L192" s="219">
        <f t="shared" si="90"/>
        <v>256.15800000000002</v>
      </c>
      <c r="M192" s="219">
        <f t="shared" si="91"/>
        <v>143.80800000000002</v>
      </c>
      <c r="N192" s="20">
        <f t="shared" si="96"/>
        <v>399.96600000000001</v>
      </c>
      <c r="O192" s="216"/>
    </row>
    <row r="193" spans="1:17" x14ac:dyDescent="0.15">
      <c r="A193" s="35">
        <f>IF(G193&lt;&gt;"",1+MAX($A$6:A192),"")</f>
        <v>127</v>
      </c>
      <c r="B193" s="104" t="s">
        <v>438</v>
      </c>
      <c r="C193" s="15"/>
      <c r="D193" s="14"/>
      <c r="E193" s="190" t="s">
        <v>333</v>
      </c>
      <c r="F193" s="191" t="s">
        <v>31</v>
      </c>
      <c r="G193" s="191">
        <v>1</v>
      </c>
      <c r="H193" s="50">
        <v>7.0000000000000007E-2</v>
      </c>
      <c r="I193" s="18">
        <f t="shared" si="95"/>
        <v>1.07</v>
      </c>
      <c r="J193" s="194">
        <f>5.7*10</f>
        <v>57</v>
      </c>
      <c r="K193" s="194">
        <f>3.2*10</f>
        <v>32</v>
      </c>
      <c r="L193" s="219">
        <f t="shared" si="90"/>
        <v>60.99</v>
      </c>
      <c r="M193" s="219">
        <f t="shared" si="91"/>
        <v>34.24</v>
      </c>
      <c r="N193" s="20">
        <f t="shared" si="96"/>
        <v>95.23</v>
      </c>
      <c r="O193" s="216"/>
    </row>
    <row r="194" spans="1:17" x14ac:dyDescent="0.15">
      <c r="A194" s="35">
        <f>IF(G194&lt;&gt;"",1+MAX($A$6:A193),"")</f>
        <v>128</v>
      </c>
      <c r="B194" s="104" t="s">
        <v>438</v>
      </c>
      <c r="C194" s="15"/>
      <c r="D194" s="14"/>
      <c r="E194" s="190" t="s">
        <v>334</v>
      </c>
      <c r="F194" s="191" t="s">
        <v>31</v>
      </c>
      <c r="G194" s="191">
        <v>4</v>
      </c>
      <c r="H194" s="50">
        <v>7.0000000000000007E-2</v>
      </c>
      <c r="I194" s="53">
        <f t="shared" si="95"/>
        <v>4.28</v>
      </c>
      <c r="J194" s="194">
        <f>5.7*5</f>
        <v>28.5</v>
      </c>
      <c r="K194" s="194">
        <f>3.2*5</f>
        <v>16</v>
      </c>
      <c r="L194" s="219">
        <f t="shared" si="90"/>
        <v>121.98</v>
      </c>
      <c r="M194" s="219">
        <f t="shared" si="91"/>
        <v>68.48</v>
      </c>
      <c r="N194" s="20">
        <f t="shared" si="96"/>
        <v>190.46</v>
      </c>
      <c r="O194" s="216"/>
    </row>
    <row r="195" spans="1:17" x14ac:dyDescent="0.15">
      <c r="A195" s="35">
        <f>IF(G195&lt;&gt;"",1+MAX($A$6:A194),"")</f>
        <v>129</v>
      </c>
      <c r="B195" s="104" t="s">
        <v>438</v>
      </c>
      <c r="C195" s="15"/>
      <c r="D195" s="14"/>
      <c r="E195" s="190" t="s">
        <v>335</v>
      </c>
      <c r="F195" s="191" t="s">
        <v>31</v>
      </c>
      <c r="G195" s="191">
        <v>1</v>
      </c>
      <c r="H195" s="8">
        <v>7.0000000000000007E-2</v>
      </c>
      <c r="I195" s="18">
        <f t="shared" si="95"/>
        <v>1.07</v>
      </c>
      <c r="J195" s="194">
        <f>5.7*16</f>
        <v>91.2</v>
      </c>
      <c r="K195" s="194">
        <f>4.1*16</f>
        <v>65.599999999999994</v>
      </c>
      <c r="L195" s="219">
        <f t="shared" si="90"/>
        <v>97.584000000000003</v>
      </c>
      <c r="M195" s="219">
        <f t="shared" si="91"/>
        <v>70.191999999999993</v>
      </c>
      <c r="N195" s="20">
        <f t="shared" si="96"/>
        <v>167.77600000000001</v>
      </c>
      <c r="O195" s="216"/>
    </row>
    <row r="196" spans="1:17" x14ac:dyDescent="0.15">
      <c r="A196" s="35">
        <f>IF(G196&lt;&gt;"",1+MAX($A$6:A195),"")</f>
        <v>130</v>
      </c>
      <c r="B196" s="104" t="s">
        <v>438</v>
      </c>
      <c r="C196" s="15"/>
      <c r="D196" s="14"/>
      <c r="E196" s="190" t="s">
        <v>336</v>
      </c>
      <c r="F196" s="191" t="s">
        <v>31</v>
      </c>
      <c r="G196" s="191">
        <v>3</v>
      </c>
      <c r="H196" s="8">
        <v>7.0000000000000007E-2</v>
      </c>
      <c r="I196" s="18">
        <f t="shared" si="95"/>
        <v>3.21</v>
      </c>
      <c r="J196" s="194">
        <f>8.8*9</f>
        <v>79.2</v>
      </c>
      <c r="K196" s="194">
        <f>4.1*9</f>
        <v>36.9</v>
      </c>
      <c r="L196" s="219">
        <f t="shared" si="90"/>
        <v>254.232</v>
      </c>
      <c r="M196" s="219">
        <f t="shared" si="91"/>
        <v>118.449</v>
      </c>
      <c r="N196" s="20">
        <f t="shared" si="96"/>
        <v>372.68099999999998</v>
      </c>
      <c r="O196" s="216"/>
      <c r="Q196" s="52"/>
    </row>
    <row r="197" spans="1:17" x14ac:dyDescent="0.15">
      <c r="A197" s="35">
        <f>IF(G197&lt;&gt;"",1+MAX($A$6:A196),"")</f>
        <v>131</v>
      </c>
      <c r="B197" s="104" t="s">
        <v>438</v>
      </c>
      <c r="C197" s="15"/>
      <c r="D197" s="14"/>
      <c r="E197" s="190" t="s">
        <v>337</v>
      </c>
      <c r="F197" s="191" t="s">
        <v>31</v>
      </c>
      <c r="G197" s="191">
        <v>14</v>
      </c>
      <c r="H197" s="8">
        <v>7.0000000000000007E-2</v>
      </c>
      <c r="I197" s="18">
        <f t="shared" si="95"/>
        <v>14.98</v>
      </c>
      <c r="J197" s="194">
        <f>8.8*8</f>
        <v>70.400000000000006</v>
      </c>
      <c r="K197" s="194">
        <f>4.1*8</f>
        <v>32.799999999999997</v>
      </c>
      <c r="L197" s="219">
        <f t="shared" si="90"/>
        <v>1054.5920000000001</v>
      </c>
      <c r="M197" s="219">
        <f t="shared" si="91"/>
        <v>491.34399999999999</v>
      </c>
      <c r="N197" s="20">
        <f t="shared" si="96"/>
        <v>1545.9360000000001</v>
      </c>
      <c r="O197" s="216"/>
    </row>
    <row r="198" spans="1:17" x14ac:dyDescent="0.15">
      <c r="A198" s="35">
        <f>IF(G198&lt;&gt;"",1+MAX($A$6:A197),"")</f>
        <v>132</v>
      </c>
      <c r="B198" s="104" t="s">
        <v>438</v>
      </c>
      <c r="C198" s="15"/>
      <c r="D198" s="14"/>
      <c r="E198" s="190" t="s">
        <v>338</v>
      </c>
      <c r="F198" s="191" t="s">
        <v>31</v>
      </c>
      <c r="G198" s="191">
        <v>2</v>
      </c>
      <c r="H198" s="50">
        <v>7.0000000000000007E-2</v>
      </c>
      <c r="I198" s="53">
        <f t="shared" si="95"/>
        <v>2.14</v>
      </c>
      <c r="J198" s="194">
        <f>8.8*6</f>
        <v>52.800000000000004</v>
      </c>
      <c r="K198" s="194">
        <f>4.1*6</f>
        <v>24.599999999999998</v>
      </c>
      <c r="L198" s="219">
        <f t="shared" si="90"/>
        <v>112.99200000000002</v>
      </c>
      <c r="M198" s="219">
        <f t="shared" si="91"/>
        <v>52.643999999999998</v>
      </c>
      <c r="N198" s="20">
        <f t="shared" si="96"/>
        <v>165.63600000000002</v>
      </c>
      <c r="O198" s="216"/>
    </row>
    <row r="199" spans="1:17" x14ac:dyDescent="0.15">
      <c r="A199" s="35">
        <f>IF(G199&lt;&gt;"",1+MAX($A$6:A198),"")</f>
        <v>133</v>
      </c>
      <c r="B199" s="104" t="s">
        <v>438</v>
      </c>
      <c r="C199" s="15"/>
      <c r="D199" s="14"/>
      <c r="E199" s="190" t="s">
        <v>339</v>
      </c>
      <c r="F199" s="191" t="s">
        <v>31</v>
      </c>
      <c r="G199" s="191">
        <v>1</v>
      </c>
      <c r="H199" s="50">
        <v>7.0000000000000007E-2</v>
      </c>
      <c r="I199" s="18">
        <f t="shared" si="95"/>
        <v>1.07</v>
      </c>
      <c r="J199" s="194">
        <f>3.5*10</f>
        <v>35</v>
      </c>
      <c r="K199" s="194">
        <f>2.1*10</f>
        <v>21</v>
      </c>
      <c r="L199" s="219">
        <f t="shared" si="90"/>
        <v>37.450000000000003</v>
      </c>
      <c r="M199" s="219">
        <f t="shared" si="91"/>
        <v>22.470000000000002</v>
      </c>
      <c r="N199" s="20">
        <f t="shared" si="96"/>
        <v>59.92</v>
      </c>
      <c r="O199" s="216"/>
    </row>
    <row r="200" spans="1:17" x14ac:dyDescent="0.15">
      <c r="A200" s="35">
        <f>IF(G200&lt;&gt;"",1+MAX($A$6:A199),"")</f>
        <v>134</v>
      </c>
      <c r="B200" s="104" t="s">
        <v>438</v>
      </c>
      <c r="C200" s="15"/>
      <c r="D200" s="14"/>
      <c r="E200" s="190" t="s">
        <v>340</v>
      </c>
      <c r="F200" s="191" t="s">
        <v>31</v>
      </c>
      <c r="G200" s="191">
        <v>8</v>
      </c>
      <c r="H200" s="8">
        <v>7.0000000000000007E-2</v>
      </c>
      <c r="I200" s="18">
        <f t="shared" si="95"/>
        <v>8.56</v>
      </c>
      <c r="J200" s="194">
        <f>3.9*15</f>
        <v>58.5</v>
      </c>
      <c r="K200" s="194">
        <f>2.3*15</f>
        <v>34.5</v>
      </c>
      <c r="L200" s="219">
        <f t="shared" si="90"/>
        <v>500.76000000000005</v>
      </c>
      <c r="M200" s="219">
        <f t="shared" si="91"/>
        <v>295.32</v>
      </c>
      <c r="N200" s="20">
        <f t="shared" si="96"/>
        <v>796.08</v>
      </c>
      <c r="O200" s="216"/>
    </row>
    <row r="201" spans="1:17" x14ac:dyDescent="0.15">
      <c r="A201" s="35">
        <f>IF(G201&lt;&gt;"",1+MAX($A$6:A200),"")</f>
        <v>135</v>
      </c>
      <c r="B201" s="104" t="s">
        <v>438</v>
      </c>
      <c r="C201" s="15"/>
      <c r="D201" s="57"/>
      <c r="E201" s="190" t="s">
        <v>341</v>
      </c>
      <c r="F201" s="191" t="s">
        <v>31</v>
      </c>
      <c r="G201" s="191">
        <v>1</v>
      </c>
      <c r="H201" s="8">
        <v>7.0000000000000007E-2</v>
      </c>
      <c r="I201" s="18">
        <f t="shared" si="95"/>
        <v>1.07</v>
      </c>
      <c r="J201" s="194">
        <f>3.9*5</f>
        <v>19.5</v>
      </c>
      <c r="K201" s="194">
        <f>2.3*5</f>
        <v>11.5</v>
      </c>
      <c r="L201" s="219">
        <f t="shared" si="90"/>
        <v>20.865000000000002</v>
      </c>
      <c r="M201" s="219">
        <f t="shared" si="91"/>
        <v>12.305000000000001</v>
      </c>
      <c r="N201" s="20">
        <f t="shared" si="96"/>
        <v>33.17</v>
      </c>
      <c r="O201" s="216"/>
    </row>
    <row r="202" spans="1:17" x14ac:dyDescent="0.15">
      <c r="A202" s="35">
        <f>IF(G202&lt;&gt;"",1+MAX($A$6:A201),"")</f>
        <v>136</v>
      </c>
      <c r="B202" s="104" t="s">
        <v>438</v>
      </c>
      <c r="C202" s="15"/>
      <c r="D202" s="14"/>
      <c r="E202" s="190" t="s">
        <v>342</v>
      </c>
      <c r="F202" s="191" t="s">
        <v>31</v>
      </c>
      <c r="G202" s="191">
        <v>5</v>
      </c>
      <c r="H202" s="8">
        <v>7.0000000000000007E-2</v>
      </c>
      <c r="I202" s="18">
        <f t="shared" si="95"/>
        <v>5.3500000000000005</v>
      </c>
      <c r="J202" s="194">
        <f>3.9*16</f>
        <v>62.4</v>
      </c>
      <c r="K202" s="194">
        <f>2.3*16</f>
        <v>36.799999999999997</v>
      </c>
      <c r="L202" s="219">
        <f t="shared" si="90"/>
        <v>333.84000000000003</v>
      </c>
      <c r="M202" s="219">
        <f t="shared" si="91"/>
        <v>196.88</v>
      </c>
      <c r="N202" s="20">
        <f t="shared" si="96"/>
        <v>530.72</v>
      </c>
      <c r="O202" s="216"/>
    </row>
    <row r="203" spans="1:17" x14ac:dyDescent="0.15">
      <c r="A203" s="35">
        <f>IF(G203&lt;&gt;"",1+MAX($A$6:A202),"")</f>
        <v>137</v>
      </c>
      <c r="B203" s="104" t="s">
        <v>438</v>
      </c>
      <c r="C203" s="15"/>
      <c r="D203" s="14"/>
      <c r="E203" s="190" t="s">
        <v>343</v>
      </c>
      <c r="F203" s="191" t="s">
        <v>31</v>
      </c>
      <c r="G203" s="191">
        <v>1</v>
      </c>
      <c r="H203" s="50">
        <v>7.0000000000000007E-2</v>
      </c>
      <c r="I203" s="18">
        <f t="shared" si="95"/>
        <v>1.07</v>
      </c>
      <c r="J203" s="194">
        <f>3.9*14</f>
        <v>54.6</v>
      </c>
      <c r="K203" s="194">
        <f>2.3*14</f>
        <v>32.199999999999996</v>
      </c>
      <c r="L203" s="219">
        <f t="shared" si="90"/>
        <v>58.422000000000004</v>
      </c>
      <c r="M203" s="219">
        <f t="shared" si="91"/>
        <v>34.454000000000001</v>
      </c>
      <c r="N203" s="20">
        <f t="shared" si="96"/>
        <v>92.876000000000005</v>
      </c>
      <c r="O203" s="216"/>
    </row>
    <row r="204" spans="1:17" x14ac:dyDescent="0.15">
      <c r="A204" s="35">
        <f>IF(G204&lt;&gt;"",1+MAX($A$6:A203),"")</f>
        <v>138</v>
      </c>
      <c r="B204" s="104" t="s">
        <v>438</v>
      </c>
      <c r="C204" s="15"/>
      <c r="D204" s="14"/>
      <c r="E204" s="190" t="s">
        <v>344</v>
      </c>
      <c r="F204" s="191" t="s">
        <v>31</v>
      </c>
      <c r="G204" s="191">
        <v>1</v>
      </c>
      <c r="H204" s="50">
        <v>7.0000000000000007E-2</v>
      </c>
      <c r="I204" s="18">
        <f t="shared" si="95"/>
        <v>1.07</v>
      </c>
      <c r="J204" s="194">
        <f>5.2*15</f>
        <v>78</v>
      </c>
      <c r="K204" s="194">
        <f>2.7*15</f>
        <v>40.5</v>
      </c>
      <c r="L204" s="219">
        <f t="shared" si="90"/>
        <v>83.460000000000008</v>
      </c>
      <c r="M204" s="219">
        <f t="shared" si="91"/>
        <v>43.335000000000001</v>
      </c>
      <c r="N204" s="20">
        <f t="shared" si="96"/>
        <v>126.79500000000002</v>
      </c>
      <c r="O204" s="216"/>
    </row>
    <row r="205" spans="1:17" x14ac:dyDescent="0.15">
      <c r="A205" s="35">
        <f>IF(G205&lt;&gt;"",1+MAX($A$6:A204),"")</f>
        <v>139</v>
      </c>
      <c r="B205" s="104" t="s">
        <v>438</v>
      </c>
      <c r="C205" s="15"/>
      <c r="D205" s="57"/>
      <c r="E205" s="190" t="s">
        <v>345</v>
      </c>
      <c r="F205" s="191" t="s">
        <v>31</v>
      </c>
      <c r="G205" s="191">
        <v>1</v>
      </c>
      <c r="H205" s="8">
        <v>7.0000000000000007E-2</v>
      </c>
      <c r="I205" s="18">
        <f t="shared" ref="I205:I280" si="97">G205*(1+H205)</f>
        <v>1.07</v>
      </c>
      <c r="J205" s="194">
        <f>5.2*16</f>
        <v>83.2</v>
      </c>
      <c r="K205" s="194">
        <f>2.7*16</f>
        <v>43.2</v>
      </c>
      <c r="L205" s="219">
        <f t="shared" si="90"/>
        <v>89.024000000000015</v>
      </c>
      <c r="M205" s="219">
        <f t="shared" si="91"/>
        <v>46.224000000000004</v>
      </c>
      <c r="N205" s="20">
        <f t="shared" ref="N205:N280" si="98">L205+M205</f>
        <v>135.24800000000002</v>
      </c>
      <c r="O205" s="216"/>
    </row>
    <row r="206" spans="1:17" x14ac:dyDescent="0.15">
      <c r="A206" s="35">
        <f>IF(G206&lt;&gt;"",1+MAX($A$6:A205),"")</f>
        <v>140</v>
      </c>
      <c r="B206" s="104" t="s">
        <v>438</v>
      </c>
      <c r="C206" s="15"/>
      <c r="D206" s="14"/>
      <c r="E206" s="190" t="s">
        <v>346</v>
      </c>
      <c r="F206" s="191" t="s">
        <v>31</v>
      </c>
      <c r="G206" s="191">
        <v>1</v>
      </c>
      <c r="H206" s="8">
        <v>7.0000000000000007E-2</v>
      </c>
      <c r="I206" s="18">
        <f t="shared" si="97"/>
        <v>1.07</v>
      </c>
      <c r="J206" s="194">
        <f>5.2*18</f>
        <v>93.600000000000009</v>
      </c>
      <c r="K206" s="194">
        <f>2.7*18</f>
        <v>48.6</v>
      </c>
      <c r="L206" s="219">
        <f t="shared" si="90"/>
        <v>100.15200000000002</v>
      </c>
      <c r="M206" s="219">
        <f t="shared" si="91"/>
        <v>52.002000000000002</v>
      </c>
      <c r="N206" s="20">
        <f t="shared" si="98"/>
        <v>152.15400000000002</v>
      </c>
      <c r="O206" s="216"/>
    </row>
    <row r="207" spans="1:17" x14ac:dyDescent="0.15">
      <c r="A207" s="35">
        <f>IF(G207&lt;&gt;"",1+MAX($A$6:A206),"")</f>
        <v>141</v>
      </c>
      <c r="B207" s="104" t="s">
        <v>438</v>
      </c>
      <c r="C207" s="15"/>
      <c r="D207" s="14"/>
      <c r="E207" s="190" t="s">
        <v>347</v>
      </c>
      <c r="F207" s="191" t="s">
        <v>31</v>
      </c>
      <c r="G207" s="191">
        <v>1</v>
      </c>
      <c r="H207" s="50">
        <v>7.0000000000000007E-2</v>
      </c>
      <c r="I207" s="18">
        <f t="shared" si="97"/>
        <v>1.07</v>
      </c>
      <c r="J207" s="194">
        <f>5.2*17</f>
        <v>88.4</v>
      </c>
      <c r="K207" s="194">
        <f>2.7*17</f>
        <v>45.900000000000006</v>
      </c>
      <c r="L207" s="219">
        <f t="shared" si="90"/>
        <v>94.588000000000008</v>
      </c>
      <c r="M207" s="219">
        <f t="shared" si="91"/>
        <v>49.113000000000007</v>
      </c>
      <c r="N207" s="20">
        <f t="shared" si="98"/>
        <v>143.70100000000002</v>
      </c>
      <c r="O207" s="216"/>
    </row>
    <row r="208" spans="1:17" x14ac:dyDescent="0.15">
      <c r="A208" s="35">
        <f>IF(G208&lt;&gt;"",1+MAX($A$6:A207),"")</f>
        <v>142</v>
      </c>
      <c r="B208" s="104" t="s">
        <v>438</v>
      </c>
      <c r="C208" s="15"/>
      <c r="D208" s="14"/>
      <c r="E208" s="190" t="s">
        <v>348</v>
      </c>
      <c r="F208" s="191" t="s">
        <v>31</v>
      </c>
      <c r="G208" s="191">
        <v>3</v>
      </c>
      <c r="H208" s="50">
        <v>7.0000000000000007E-2</v>
      </c>
      <c r="I208" s="53">
        <f t="shared" si="97"/>
        <v>3.21</v>
      </c>
      <c r="J208" s="194">
        <f>5.2*15</f>
        <v>78</v>
      </c>
      <c r="K208" s="194">
        <f>2.7*15</f>
        <v>40.5</v>
      </c>
      <c r="L208" s="219">
        <f t="shared" si="90"/>
        <v>250.38</v>
      </c>
      <c r="M208" s="219">
        <f t="shared" si="91"/>
        <v>130.005</v>
      </c>
      <c r="N208" s="20">
        <f t="shared" si="98"/>
        <v>380.38499999999999</v>
      </c>
      <c r="O208" s="216"/>
    </row>
    <row r="209" spans="1:17" x14ac:dyDescent="0.15">
      <c r="A209" s="35">
        <f>IF(G209&lt;&gt;"",1+MAX($A$6:A208),"")</f>
        <v>143</v>
      </c>
      <c r="B209" s="104" t="s">
        <v>438</v>
      </c>
      <c r="C209" s="15"/>
      <c r="D209" s="14"/>
      <c r="E209" s="190" t="s">
        <v>349</v>
      </c>
      <c r="F209" s="191" t="s">
        <v>31</v>
      </c>
      <c r="G209" s="191">
        <v>1</v>
      </c>
      <c r="H209" s="8">
        <v>7.0000000000000007E-2</v>
      </c>
      <c r="I209" s="18">
        <f t="shared" si="97"/>
        <v>1.07</v>
      </c>
      <c r="J209" s="194">
        <f>5.2*3</f>
        <v>15.600000000000001</v>
      </c>
      <c r="K209" s="194">
        <f>2.7*3</f>
        <v>8.1000000000000014</v>
      </c>
      <c r="L209" s="219">
        <f t="shared" si="90"/>
        <v>16.692000000000004</v>
      </c>
      <c r="M209" s="219">
        <f t="shared" si="91"/>
        <v>8.6670000000000016</v>
      </c>
      <c r="N209" s="20">
        <f t="shared" si="98"/>
        <v>25.359000000000005</v>
      </c>
      <c r="O209" s="216"/>
    </row>
    <row r="210" spans="1:17" x14ac:dyDescent="0.15">
      <c r="A210" s="35">
        <f>IF(G210&lt;&gt;"",1+MAX($A$6:A209),"")</f>
        <v>144</v>
      </c>
      <c r="B210" s="104" t="s">
        <v>438</v>
      </c>
      <c r="C210" s="15"/>
      <c r="D210" s="14"/>
      <c r="E210" s="190" t="s">
        <v>350</v>
      </c>
      <c r="F210" s="191" t="s">
        <v>31</v>
      </c>
      <c r="G210" s="191">
        <v>1</v>
      </c>
      <c r="H210" s="8">
        <v>7.0000000000000007E-2</v>
      </c>
      <c r="I210" s="18">
        <f t="shared" si="97"/>
        <v>1.07</v>
      </c>
      <c r="J210" s="194">
        <f>5.2*5</f>
        <v>26</v>
      </c>
      <c r="K210" s="194">
        <f>2.7*5</f>
        <v>13.5</v>
      </c>
      <c r="L210" s="219">
        <f t="shared" si="90"/>
        <v>27.82</v>
      </c>
      <c r="M210" s="219">
        <f t="shared" si="91"/>
        <v>14.445</v>
      </c>
      <c r="N210" s="20">
        <f t="shared" si="98"/>
        <v>42.265000000000001</v>
      </c>
      <c r="O210" s="216"/>
      <c r="Q210" s="52"/>
    </row>
    <row r="211" spans="1:17" x14ac:dyDescent="0.15">
      <c r="A211" s="35">
        <f>IF(G211&lt;&gt;"",1+MAX($A$6:A210),"")</f>
        <v>145</v>
      </c>
      <c r="B211" s="104" t="s">
        <v>438</v>
      </c>
      <c r="C211" s="15"/>
      <c r="D211" s="14"/>
      <c r="E211" s="190" t="s">
        <v>351</v>
      </c>
      <c r="F211" s="191" t="s">
        <v>31</v>
      </c>
      <c r="G211" s="191">
        <v>1</v>
      </c>
      <c r="H211" s="8">
        <v>7.0000000000000007E-2</v>
      </c>
      <c r="I211" s="18">
        <f t="shared" si="97"/>
        <v>1.07</v>
      </c>
      <c r="J211" s="194">
        <f>5.2*6</f>
        <v>31.200000000000003</v>
      </c>
      <c r="K211" s="194">
        <f>2.7*6</f>
        <v>16.200000000000003</v>
      </c>
      <c r="L211" s="219">
        <f t="shared" si="90"/>
        <v>33.384000000000007</v>
      </c>
      <c r="M211" s="219">
        <f t="shared" si="91"/>
        <v>17.334000000000003</v>
      </c>
      <c r="N211" s="20">
        <f t="shared" si="98"/>
        <v>50.718000000000011</v>
      </c>
      <c r="O211" s="216"/>
    </row>
    <row r="212" spans="1:17" x14ac:dyDescent="0.15">
      <c r="A212" s="35">
        <f>IF(G212&lt;&gt;"",1+MAX($A$6:A211),"")</f>
        <v>146</v>
      </c>
      <c r="B212" s="104" t="s">
        <v>438</v>
      </c>
      <c r="C212" s="15"/>
      <c r="D212" s="14"/>
      <c r="E212" s="190" t="s">
        <v>352</v>
      </c>
      <c r="F212" s="191" t="s">
        <v>31</v>
      </c>
      <c r="G212" s="191">
        <v>2</v>
      </c>
      <c r="H212" s="50">
        <v>7.0000000000000007E-2</v>
      </c>
      <c r="I212" s="53">
        <f t="shared" si="97"/>
        <v>2.14</v>
      </c>
      <c r="J212" s="194">
        <f>5.2*9</f>
        <v>46.800000000000004</v>
      </c>
      <c r="K212" s="194">
        <f>2.7*9</f>
        <v>24.3</v>
      </c>
      <c r="L212" s="219">
        <f t="shared" si="90"/>
        <v>100.15200000000002</v>
      </c>
      <c r="M212" s="219">
        <f t="shared" si="91"/>
        <v>52.002000000000002</v>
      </c>
      <c r="N212" s="20">
        <f t="shared" si="98"/>
        <v>152.15400000000002</v>
      </c>
      <c r="O212" s="216"/>
    </row>
    <row r="213" spans="1:17" x14ac:dyDescent="0.15">
      <c r="A213" s="35">
        <f>IF(G213&lt;&gt;"",1+MAX($A$6:A212),"")</f>
        <v>147</v>
      </c>
      <c r="B213" s="104" t="s">
        <v>438</v>
      </c>
      <c r="C213" s="15"/>
      <c r="D213" s="14"/>
      <c r="E213" s="190" t="s">
        <v>353</v>
      </c>
      <c r="F213" s="191" t="s">
        <v>31</v>
      </c>
      <c r="G213" s="191">
        <v>1</v>
      </c>
      <c r="H213" s="50">
        <v>7.0000000000000007E-2</v>
      </c>
      <c r="I213" s="18">
        <f t="shared" si="97"/>
        <v>1.07</v>
      </c>
      <c r="J213" s="194">
        <f>5.2*16</f>
        <v>83.2</v>
      </c>
      <c r="K213" s="194">
        <f>2.7*16</f>
        <v>43.2</v>
      </c>
      <c r="L213" s="219">
        <f t="shared" si="90"/>
        <v>89.024000000000015</v>
      </c>
      <c r="M213" s="219">
        <f t="shared" si="91"/>
        <v>46.224000000000004</v>
      </c>
      <c r="N213" s="20">
        <f t="shared" si="98"/>
        <v>135.24800000000002</v>
      </c>
      <c r="O213" s="216"/>
    </row>
    <row r="214" spans="1:17" x14ac:dyDescent="0.15">
      <c r="A214" s="35">
        <f>IF(G214&lt;&gt;"",1+MAX($A$6:A213),"")</f>
        <v>148</v>
      </c>
      <c r="B214" s="104" t="s">
        <v>438</v>
      </c>
      <c r="C214" s="15"/>
      <c r="D214" s="14"/>
      <c r="E214" s="190" t="s">
        <v>354</v>
      </c>
      <c r="F214" s="191" t="s">
        <v>31</v>
      </c>
      <c r="G214" s="191">
        <v>3</v>
      </c>
      <c r="H214" s="8">
        <v>7.0000000000000007E-2</v>
      </c>
      <c r="I214" s="18">
        <f t="shared" si="97"/>
        <v>3.21</v>
      </c>
      <c r="J214" s="194">
        <f>6.3*5</f>
        <v>31.5</v>
      </c>
      <c r="K214" s="194">
        <f>3.4*5</f>
        <v>17</v>
      </c>
      <c r="L214" s="219">
        <f t="shared" si="90"/>
        <v>101.11499999999999</v>
      </c>
      <c r="M214" s="219">
        <f t="shared" si="91"/>
        <v>54.57</v>
      </c>
      <c r="N214" s="20">
        <f t="shared" si="98"/>
        <v>155.685</v>
      </c>
      <c r="O214" s="216"/>
    </row>
    <row r="215" spans="1:17" x14ac:dyDescent="0.15">
      <c r="A215" s="35">
        <f>IF(G215&lt;&gt;"",1+MAX($A$6:A214),"")</f>
        <v>149</v>
      </c>
      <c r="B215" s="104" t="s">
        <v>438</v>
      </c>
      <c r="C215" s="15"/>
      <c r="D215" s="14"/>
      <c r="E215" s="190" t="s">
        <v>355</v>
      </c>
      <c r="F215" s="191" t="s">
        <v>31</v>
      </c>
      <c r="G215" s="191">
        <v>2</v>
      </c>
      <c r="H215" s="50">
        <v>7.0000000000000007E-2</v>
      </c>
      <c r="I215" s="53">
        <f t="shared" si="97"/>
        <v>2.14</v>
      </c>
      <c r="J215" s="194">
        <f>6.3*4</f>
        <v>25.2</v>
      </c>
      <c r="K215" s="194">
        <f>3.4*4</f>
        <v>13.6</v>
      </c>
      <c r="L215" s="219">
        <f t="shared" si="90"/>
        <v>53.928000000000004</v>
      </c>
      <c r="M215" s="219">
        <f t="shared" si="91"/>
        <v>29.103999999999999</v>
      </c>
      <c r="N215" s="20">
        <f t="shared" si="98"/>
        <v>83.032000000000011</v>
      </c>
      <c r="O215" s="216"/>
    </row>
    <row r="216" spans="1:17" x14ac:dyDescent="0.15">
      <c r="A216" s="35">
        <f>IF(G216&lt;&gt;"",1+MAX($A$6:A215),"")</f>
        <v>150</v>
      </c>
      <c r="B216" s="104" t="s">
        <v>438</v>
      </c>
      <c r="C216" s="15"/>
      <c r="D216" s="14"/>
      <c r="E216" s="190" t="s">
        <v>356</v>
      </c>
      <c r="F216" s="191" t="s">
        <v>31</v>
      </c>
      <c r="G216" s="191">
        <v>5</v>
      </c>
      <c r="H216" s="50">
        <v>7.0000000000000007E-2</v>
      </c>
      <c r="I216" s="18">
        <f t="shared" si="97"/>
        <v>5.3500000000000005</v>
      </c>
      <c r="J216" s="194">
        <f>6.3*16</f>
        <v>100.8</v>
      </c>
      <c r="K216" s="194">
        <f>3.4*16</f>
        <v>54.4</v>
      </c>
      <c r="L216" s="219">
        <f t="shared" si="90"/>
        <v>539.28000000000009</v>
      </c>
      <c r="M216" s="219">
        <f t="shared" si="91"/>
        <v>291.04000000000002</v>
      </c>
      <c r="N216" s="20">
        <f t="shared" si="98"/>
        <v>830.32000000000016</v>
      </c>
      <c r="O216" s="216"/>
    </row>
    <row r="217" spans="1:17" x14ac:dyDescent="0.15">
      <c r="A217" s="35">
        <f>IF(G217&lt;&gt;"",1+MAX($A$6:A216),"")</f>
        <v>151</v>
      </c>
      <c r="B217" s="104" t="s">
        <v>438</v>
      </c>
      <c r="C217" s="15"/>
      <c r="D217" s="14"/>
      <c r="E217" s="190" t="s">
        <v>357</v>
      </c>
      <c r="F217" s="191" t="s">
        <v>31</v>
      </c>
      <c r="G217" s="191">
        <v>8</v>
      </c>
      <c r="H217" s="8">
        <v>7.0000000000000007E-2</v>
      </c>
      <c r="I217" s="18">
        <f t="shared" si="97"/>
        <v>8.56</v>
      </c>
      <c r="J217" s="194">
        <f>6.3*7</f>
        <v>44.1</v>
      </c>
      <c r="K217" s="194">
        <f>3.4*7</f>
        <v>23.8</v>
      </c>
      <c r="L217" s="219">
        <f t="shared" ref="L217:L249" si="99">J217*I217</f>
        <v>377.49600000000004</v>
      </c>
      <c r="M217" s="219">
        <f t="shared" ref="M217:M249" si="100">K217*I217</f>
        <v>203.72800000000001</v>
      </c>
      <c r="N217" s="20">
        <f t="shared" si="98"/>
        <v>581.22400000000005</v>
      </c>
      <c r="O217" s="216"/>
    </row>
    <row r="218" spans="1:17" x14ac:dyDescent="0.15">
      <c r="A218" s="35">
        <f>IF(G218&lt;&gt;"",1+MAX($A$6:A217),"")</f>
        <v>152</v>
      </c>
      <c r="B218" s="104" t="s">
        <v>438</v>
      </c>
      <c r="C218" s="15"/>
      <c r="D218" s="57"/>
      <c r="E218" s="190" t="s">
        <v>358</v>
      </c>
      <c r="F218" s="191" t="s">
        <v>31</v>
      </c>
      <c r="G218" s="191">
        <v>1</v>
      </c>
      <c r="H218" s="8">
        <v>7.0000000000000007E-2</v>
      </c>
      <c r="I218" s="18">
        <f t="shared" si="97"/>
        <v>1.07</v>
      </c>
      <c r="J218" s="194">
        <f>6.3*10</f>
        <v>63</v>
      </c>
      <c r="K218" s="194">
        <f>3.4*10</f>
        <v>34</v>
      </c>
      <c r="L218" s="219">
        <f t="shared" si="99"/>
        <v>67.410000000000011</v>
      </c>
      <c r="M218" s="219">
        <f t="shared" si="100"/>
        <v>36.380000000000003</v>
      </c>
      <c r="N218" s="20">
        <f t="shared" si="98"/>
        <v>103.79000000000002</v>
      </c>
      <c r="O218" s="216"/>
    </row>
    <row r="219" spans="1:17" x14ac:dyDescent="0.15">
      <c r="A219" s="35">
        <f>IF(G219&lt;&gt;"",1+MAX($A$6:A218),"")</f>
        <v>153</v>
      </c>
      <c r="B219" s="104" t="s">
        <v>438</v>
      </c>
      <c r="C219" s="15"/>
      <c r="D219" s="14"/>
      <c r="E219" s="190" t="s">
        <v>359</v>
      </c>
      <c r="F219" s="191" t="s">
        <v>31</v>
      </c>
      <c r="G219" s="191">
        <v>4</v>
      </c>
      <c r="H219" s="8">
        <v>7.0000000000000007E-2</v>
      </c>
      <c r="I219" s="18">
        <f t="shared" si="97"/>
        <v>4.28</v>
      </c>
      <c r="J219" s="194">
        <f>6.3*6</f>
        <v>37.799999999999997</v>
      </c>
      <c r="K219" s="194">
        <f>3.4*6</f>
        <v>20.399999999999999</v>
      </c>
      <c r="L219" s="219">
        <f t="shared" si="99"/>
        <v>161.78399999999999</v>
      </c>
      <c r="M219" s="219">
        <f t="shared" si="100"/>
        <v>87.311999999999998</v>
      </c>
      <c r="N219" s="20">
        <f t="shared" si="98"/>
        <v>249.096</v>
      </c>
      <c r="O219" s="216"/>
    </row>
    <row r="220" spans="1:17" x14ac:dyDescent="0.15">
      <c r="A220" s="35">
        <f>IF(G220&lt;&gt;"",1+MAX($A$6:A219),"")</f>
        <v>154</v>
      </c>
      <c r="B220" s="104" t="s">
        <v>438</v>
      </c>
      <c r="C220" s="15"/>
      <c r="D220" s="14"/>
      <c r="E220" s="190" t="s">
        <v>360</v>
      </c>
      <c r="F220" s="191" t="s">
        <v>31</v>
      </c>
      <c r="G220" s="191">
        <v>1</v>
      </c>
      <c r="H220" s="50">
        <v>7.0000000000000007E-2</v>
      </c>
      <c r="I220" s="18">
        <f t="shared" si="97"/>
        <v>1.07</v>
      </c>
      <c r="J220" s="194">
        <f>6.3*15</f>
        <v>94.5</v>
      </c>
      <c r="K220" s="194">
        <f>3.4*15</f>
        <v>51</v>
      </c>
      <c r="L220" s="219">
        <f t="shared" si="99"/>
        <v>101.11500000000001</v>
      </c>
      <c r="M220" s="219">
        <f t="shared" si="100"/>
        <v>54.57</v>
      </c>
      <c r="N220" s="20">
        <f t="shared" si="98"/>
        <v>155.685</v>
      </c>
      <c r="O220" s="216"/>
    </row>
    <row r="221" spans="1:17" x14ac:dyDescent="0.15">
      <c r="A221" s="35">
        <f>IF(G221&lt;&gt;"",1+MAX($A$6:A220),"")</f>
        <v>155</v>
      </c>
      <c r="B221" s="104" t="s">
        <v>438</v>
      </c>
      <c r="C221" s="15"/>
      <c r="D221" s="14"/>
      <c r="E221" s="190" t="s">
        <v>361</v>
      </c>
      <c r="F221" s="191" t="s">
        <v>31</v>
      </c>
      <c r="G221" s="191">
        <v>2</v>
      </c>
      <c r="H221" s="50">
        <v>7.0000000000000007E-2</v>
      </c>
      <c r="I221" s="18">
        <f t="shared" si="97"/>
        <v>2.14</v>
      </c>
      <c r="J221" s="194">
        <f>6.3*13</f>
        <v>81.899999999999991</v>
      </c>
      <c r="K221" s="194">
        <f>3.4*13</f>
        <v>44.199999999999996</v>
      </c>
      <c r="L221" s="219">
        <f t="shared" si="99"/>
        <v>175.26599999999999</v>
      </c>
      <c r="M221" s="219">
        <f t="shared" si="100"/>
        <v>94.587999999999994</v>
      </c>
      <c r="N221" s="20">
        <f t="shared" si="98"/>
        <v>269.85399999999998</v>
      </c>
      <c r="O221" s="216"/>
    </row>
    <row r="222" spans="1:17" x14ac:dyDescent="0.15">
      <c r="A222" s="35">
        <f>IF(G222&lt;&gt;"",1+MAX($A$6:A221),"")</f>
        <v>156</v>
      </c>
      <c r="B222" s="104" t="s">
        <v>438</v>
      </c>
      <c r="C222" s="15"/>
      <c r="D222" s="57"/>
      <c r="E222" s="190" t="s">
        <v>362</v>
      </c>
      <c r="F222" s="191" t="s">
        <v>31</v>
      </c>
      <c r="G222" s="191">
        <v>2</v>
      </c>
      <c r="H222" s="8">
        <v>7.0000000000000007E-2</v>
      </c>
      <c r="I222" s="18">
        <f t="shared" si="97"/>
        <v>2.14</v>
      </c>
      <c r="J222" s="194">
        <f>6.3*10</f>
        <v>63</v>
      </c>
      <c r="K222" s="194">
        <f>3.4*10</f>
        <v>34</v>
      </c>
      <c r="L222" s="219">
        <f t="shared" si="99"/>
        <v>134.82000000000002</v>
      </c>
      <c r="M222" s="219">
        <f t="shared" si="100"/>
        <v>72.760000000000005</v>
      </c>
      <c r="N222" s="20">
        <f t="shared" si="98"/>
        <v>207.58000000000004</v>
      </c>
      <c r="O222" s="216"/>
    </row>
    <row r="223" spans="1:17" x14ac:dyDescent="0.15">
      <c r="A223" s="35">
        <f>IF(G223&lt;&gt;"",1+MAX($A$6:A222),"")</f>
        <v>157</v>
      </c>
      <c r="B223" s="104" t="s">
        <v>438</v>
      </c>
      <c r="C223" s="15"/>
      <c r="D223" s="14"/>
      <c r="E223" s="190" t="s">
        <v>363</v>
      </c>
      <c r="F223" s="191" t="s">
        <v>31</v>
      </c>
      <c r="G223" s="191">
        <v>1</v>
      </c>
      <c r="H223" s="8">
        <v>7.0000000000000007E-2</v>
      </c>
      <c r="I223" s="18">
        <f t="shared" si="97"/>
        <v>1.07</v>
      </c>
      <c r="J223" s="194">
        <f>6.3*8</f>
        <v>50.4</v>
      </c>
      <c r="K223" s="194">
        <f>3.4*8</f>
        <v>27.2</v>
      </c>
      <c r="L223" s="219">
        <f t="shared" si="99"/>
        <v>53.928000000000004</v>
      </c>
      <c r="M223" s="219">
        <f t="shared" si="100"/>
        <v>29.103999999999999</v>
      </c>
      <c r="N223" s="20">
        <f t="shared" si="98"/>
        <v>83.032000000000011</v>
      </c>
      <c r="O223" s="216"/>
    </row>
    <row r="224" spans="1:17" x14ac:dyDescent="0.15">
      <c r="A224" s="35">
        <f>IF(G224&lt;&gt;"",1+MAX($A$6:A223),"")</f>
        <v>158</v>
      </c>
      <c r="B224" s="104" t="s">
        <v>438</v>
      </c>
      <c r="C224" s="15"/>
      <c r="D224" s="14"/>
      <c r="E224" s="190" t="s">
        <v>364</v>
      </c>
      <c r="F224" s="191" t="s">
        <v>31</v>
      </c>
      <c r="G224" s="191">
        <v>1</v>
      </c>
      <c r="H224" s="50">
        <v>7.0000000000000007E-2</v>
      </c>
      <c r="I224" s="18">
        <f t="shared" si="97"/>
        <v>1.07</v>
      </c>
      <c r="J224" s="194">
        <f>6.3*12</f>
        <v>75.599999999999994</v>
      </c>
      <c r="K224" s="194">
        <f>3.4*12</f>
        <v>40.799999999999997</v>
      </c>
      <c r="L224" s="219">
        <f t="shared" si="99"/>
        <v>80.891999999999996</v>
      </c>
      <c r="M224" s="219">
        <f t="shared" si="100"/>
        <v>43.655999999999999</v>
      </c>
      <c r="N224" s="20">
        <f t="shared" si="98"/>
        <v>124.548</v>
      </c>
      <c r="O224" s="216"/>
    </row>
    <row r="225" spans="1:17" x14ac:dyDescent="0.15">
      <c r="A225" s="35">
        <f>IF(G225&lt;&gt;"",1+MAX($A$6:A224),"")</f>
        <v>159</v>
      </c>
      <c r="B225" s="104" t="s">
        <v>438</v>
      </c>
      <c r="C225" s="15"/>
      <c r="D225" s="14"/>
      <c r="E225" s="190" t="s">
        <v>365</v>
      </c>
      <c r="F225" s="191" t="s">
        <v>31</v>
      </c>
      <c r="G225" s="191">
        <v>1</v>
      </c>
      <c r="H225" s="50">
        <v>7.0000000000000007E-2</v>
      </c>
      <c r="I225" s="53">
        <f t="shared" si="97"/>
        <v>1.07</v>
      </c>
      <c r="J225" s="194">
        <f>6.3*17</f>
        <v>107.1</v>
      </c>
      <c r="K225" s="194">
        <f>3.4*17</f>
        <v>57.8</v>
      </c>
      <c r="L225" s="219">
        <f t="shared" si="99"/>
        <v>114.59699999999999</v>
      </c>
      <c r="M225" s="219">
        <f t="shared" si="100"/>
        <v>61.846000000000004</v>
      </c>
      <c r="N225" s="20">
        <f t="shared" si="98"/>
        <v>176.44299999999998</v>
      </c>
      <c r="O225" s="216"/>
    </row>
    <row r="226" spans="1:17" x14ac:dyDescent="0.15">
      <c r="A226" s="35">
        <f>IF(G226&lt;&gt;"",1+MAX($A$6:A225),"")</f>
        <v>160</v>
      </c>
      <c r="B226" s="104" t="s">
        <v>438</v>
      </c>
      <c r="C226" s="15"/>
      <c r="D226" s="14"/>
      <c r="E226" s="190" t="s">
        <v>366</v>
      </c>
      <c r="F226" s="191" t="s">
        <v>31</v>
      </c>
      <c r="G226" s="191">
        <v>4</v>
      </c>
      <c r="H226" s="8">
        <v>7.0000000000000007E-2</v>
      </c>
      <c r="I226" s="18">
        <f t="shared" si="97"/>
        <v>4.28</v>
      </c>
      <c r="J226" s="194">
        <f>8.9*16</f>
        <v>142.4</v>
      </c>
      <c r="K226" s="194">
        <f>4.4*16</f>
        <v>70.400000000000006</v>
      </c>
      <c r="L226" s="219">
        <f t="shared" si="99"/>
        <v>609.47200000000009</v>
      </c>
      <c r="M226" s="219">
        <f t="shared" si="100"/>
        <v>301.31200000000007</v>
      </c>
      <c r="N226" s="20">
        <f t="shared" si="98"/>
        <v>910.78400000000011</v>
      </c>
      <c r="O226" s="216"/>
    </row>
    <row r="227" spans="1:17" x14ac:dyDescent="0.15">
      <c r="A227" s="35">
        <f>IF(G227&lt;&gt;"",1+MAX($A$6:A226),"")</f>
        <v>161</v>
      </c>
      <c r="B227" s="104" t="s">
        <v>438</v>
      </c>
      <c r="C227" s="15"/>
      <c r="D227" s="14"/>
      <c r="E227" s="190" t="s">
        <v>367</v>
      </c>
      <c r="F227" s="191" t="s">
        <v>31</v>
      </c>
      <c r="G227" s="191">
        <v>2</v>
      </c>
      <c r="H227" s="8">
        <v>7.0000000000000007E-2</v>
      </c>
      <c r="I227" s="18">
        <f t="shared" si="97"/>
        <v>2.14</v>
      </c>
      <c r="J227" s="194">
        <f>8.9*24</f>
        <v>213.60000000000002</v>
      </c>
      <c r="K227" s="194">
        <f>4.4*24</f>
        <v>105.60000000000001</v>
      </c>
      <c r="L227" s="219">
        <f t="shared" si="99"/>
        <v>457.1040000000001</v>
      </c>
      <c r="M227" s="219">
        <f t="shared" si="100"/>
        <v>225.98400000000004</v>
      </c>
      <c r="N227" s="20">
        <f t="shared" si="98"/>
        <v>683.08800000000019</v>
      </c>
      <c r="O227" s="216"/>
      <c r="Q227" s="52"/>
    </row>
    <row r="228" spans="1:17" x14ac:dyDescent="0.15">
      <c r="A228" s="35">
        <f>IF(G228&lt;&gt;"",1+MAX($A$6:A227),"")</f>
        <v>162</v>
      </c>
      <c r="B228" s="104" t="s">
        <v>438</v>
      </c>
      <c r="C228" s="15"/>
      <c r="D228" s="14"/>
      <c r="E228" s="190" t="s">
        <v>368</v>
      </c>
      <c r="F228" s="191" t="s">
        <v>31</v>
      </c>
      <c r="G228" s="191">
        <v>1</v>
      </c>
      <c r="H228" s="8">
        <v>7.0000000000000007E-2</v>
      </c>
      <c r="I228" s="18">
        <f t="shared" si="97"/>
        <v>1.07</v>
      </c>
      <c r="J228" s="194">
        <f>8.9*10</f>
        <v>89</v>
      </c>
      <c r="K228" s="194">
        <f>4.4*10</f>
        <v>44</v>
      </c>
      <c r="L228" s="219">
        <f t="shared" si="99"/>
        <v>95.23</v>
      </c>
      <c r="M228" s="219">
        <f t="shared" si="100"/>
        <v>47.080000000000005</v>
      </c>
      <c r="N228" s="20">
        <f t="shared" si="98"/>
        <v>142.31</v>
      </c>
      <c r="O228" s="216"/>
    </row>
    <row r="229" spans="1:17" x14ac:dyDescent="0.15">
      <c r="A229" s="35">
        <f>IF(G229&lt;&gt;"",1+MAX($A$6:A228),"")</f>
        <v>163</v>
      </c>
      <c r="B229" s="104" t="s">
        <v>438</v>
      </c>
      <c r="C229" s="15"/>
      <c r="D229" s="14"/>
      <c r="E229" s="190" t="s">
        <v>369</v>
      </c>
      <c r="F229" s="191" t="s">
        <v>31</v>
      </c>
      <c r="G229" s="191">
        <v>1</v>
      </c>
      <c r="H229" s="50">
        <v>7.0000000000000007E-2</v>
      </c>
      <c r="I229" s="53">
        <f t="shared" si="97"/>
        <v>1.07</v>
      </c>
      <c r="J229" s="194">
        <f>8.9*19</f>
        <v>169.1</v>
      </c>
      <c r="K229" s="194">
        <f>4.4*19</f>
        <v>83.600000000000009</v>
      </c>
      <c r="L229" s="219">
        <f t="shared" si="99"/>
        <v>180.93700000000001</v>
      </c>
      <c r="M229" s="219">
        <f t="shared" si="100"/>
        <v>89.452000000000012</v>
      </c>
      <c r="N229" s="20">
        <f t="shared" si="98"/>
        <v>270.38900000000001</v>
      </c>
      <c r="O229" s="216"/>
    </row>
    <row r="230" spans="1:17" x14ac:dyDescent="0.15">
      <c r="A230" s="35">
        <f>IF(G230&lt;&gt;"",1+MAX($A$6:A229),"")</f>
        <v>164</v>
      </c>
      <c r="B230" s="104" t="s">
        <v>438</v>
      </c>
      <c r="C230" s="15"/>
      <c r="D230" s="14"/>
      <c r="E230" s="190" t="s">
        <v>370</v>
      </c>
      <c r="F230" s="191" t="s">
        <v>31</v>
      </c>
      <c r="G230" s="191">
        <v>1</v>
      </c>
      <c r="H230" s="50">
        <v>7.0000000000000007E-2</v>
      </c>
      <c r="I230" s="18">
        <f t="shared" si="97"/>
        <v>1.07</v>
      </c>
      <c r="J230" s="194">
        <f>6.1*12</f>
        <v>73.199999999999989</v>
      </c>
      <c r="K230" s="194">
        <f>3.2*12</f>
        <v>38.400000000000006</v>
      </c>
      <c r="L230" s="219">
        <f t="shared" si="99"/>
        <v>78.323999999999998</v>
      </c>
      <c r="M230" s="219">
        <f t="shared" si="100"/>
        <v>41.088000000000008</v>
      </c>
      <c r="N230" s="20">
        <f t="shared" si="98"/>
        <v>119.41200000000001</v>
      </c>
      <c r="O230" s="216"/>
    </row>
    <row r="231" spans="1:17" x14ac:dyDescent="0.15">
      <c r="A231" s="35">
        <f>IF(G231&lt;&gt;"",1+MAX($A$6:A230),"")</f>
        <v>165</v>
      </c>
      <c r="B231" s="104" t="s">
        <v>438</v>
      </c>
      <c r="C231" s="15"/>
      <c r="D231" s="14"/>
      <c r="E231" s="190" t="s">
        <v>371</v>
      </c>
      <c r="F231" s="191" t="s">
        <v>31</v>
      </c>
      <c r="G231" s="191">
        <v>2</v>
      </c>
      <c r="H231" s="8">
        <v>7.0000000000000007E-2</v>
      </c>
      <c r="I231" s="18">
        <f t="shared" si="97"/>
        <v>2.14</v>
      </c>
      <c r="J231" s="194">
        <f>6.1*11</f>
        <v>67.099999999999994</v>
      </c>
      <c r="K231" s="194">
        <f>3.2*11</f>
        <v>35.200000000000003</v>
      </c>
      <c r="L231" s="219">
        <f t="shared" si="99"/>
        <v>143.59399999999999</v>
      </c>
      <c r="M231" s="219">
        <f t="shared" si="100"/>
        <v>75.328000000000017</v>
      </c>
      <c r="N231" s="20">
        <f t="shared" si="98"/>
        <v>218.92200000000003</v>
      </c>
      <c r="O231" s="216"/>
    </row>
    <row r="232" spans="1:17" x14ac:dyDescent="0.15">
      <c r="A232" s="35">
        <f>IF(G232&lt;&gt;"",1+MAX($A$6:A231),"")</f>
        <v>166</v>
      </c>
      <c r="B232" s="104" t="s">
        <v>438</v>
      </c>
      <c r="C232" s="15"/>
      <c r="D232" s="57"/>
      <c r="E232" s="190" t="s">
        <v>372</v>
      </c>
      <c r="F232" s="191" t="s">
        <v>31</v>
      </c>
      <c r="G232" s="191">
        <v>4</v>
      </c>
      <c r="H232" s="8">
        <v>7.0000000000000007E-2</v>
      </c>
      <c r="I232" s="18">
        <f t="shared" si="97"/>
        <v>4.28</v>
      </c>
      <c r="J232" s="194">
        <f>6.1*6</f>
        <v>36.599999999999994</v>
      </c>
      <c r="K232" s="194">
        <f>3.2*6</f>
        <v>19.200000000000003</v>
      </c>
      <c r="L232" s="219">
        <f t="shared" si="99"/>
        <v>156.648</v>
      </c>
      <c r="M232" s="219">
        <f t="shared" si="100"/>
        <v>82.176000000000016</v>
      </c>
      <c r="N232" s="20">
        <f t="shared" si="98"/>
        <v>238.82400000000001</v>
      </c>
      <c r="O232" s="216"/>
    </row>
    <row r="233" spans="1:17" x14ac:dyDescent="0.15">
      <c r="A233" s="35">
        <f>IF(G233&lt;&gt;"",1+MAX($A$6:A232),"")</f>
        <v>167</v>
      </c>
      <c r="B233" s="104" t="s">
        <v>438</v>
      </c>
      <c r="C233" s="15"/>
      <c r="D233" s="14"/>
      <c r="E233" s="190" t="s">
        <v>373</v>
      </c>
      <c r="F233" s="191" t="s">
        <v>31</v>
      </c>
      <c r="G233" s="191">
        <v>7</v>
      </c>
      <c r="H233" s="8">
        <v>7.0000000000000007E-2</v>
      </c>
      <c r="I233" s="18">
        <f t="shared" si="97"/>
        <v>7.49</v>
      </c>
      <c r="J233" s="194">
        <f>6.1*9</f>
        <v>54.9</v>
      </c>
      <c r="K233" s="194">
        <f>3.2*9</f>
        <v>28.8</v>
      </c>
      <c r="L233" s="219">
        <f t="shared" si="99"/>
        <v>411.20100000000002</v>
      </c>
      <c r="M233" s="219">
        <f t="shared" si="100"/>
        <v>215.71200000000002</v>
      </c>
      <c r="N233" s="20">
        <f t="shared" si="98"/>
        <v>626.91300000000001</v>
      </c>
      <c r="O233" s="216"/>
    </row>
    <row r="234" spans="1:17" x14ac:dyDescent="0.15">
      <c r="A234" s="35">
        <f>IF(G234&lt;&gt;"",1+MAX($A$6:A233),"")</f>
        <v>168</v>
      </c>
      <c r="B234" s="104" t="s">
        <v>438</v>
      </c>
      <c r="C234" s="15"/>
      <c r="D234" s="14"/>
      <c r="E234" s="190" t="s">
        <v>374</v>
      </c>
      <c r="F234" s="191" t="s">
        <v>31</v>
      </c>
      <c r="G234" s="191">
        <v>3</v>
      </c>
      <c r="H234" s="50">
        <v>7.0000000000000007E-2</v>
      </c>
      <c r="I234" s="18">
        <f t="shared" si="97"/>
        <v>3.21</v>
      </c>
      <c r="J234" s="194">
        <f>6.1*8</f>
        <v>48.8</v>
      </c>
      <c r="K234" s="194">
        <f>3.2*8</f>
        <v>25.6</v>
      </c>
      <c r="L234" s="219">
        <f t="shared" si="99"/>
        <v>156.648</v>
      </c>
      <c r="M234" s="219">
        <f t="shared" si="100"/>
        <v>82.176000000000002</v>
      </c>
      <c r="N234" s="20">
        <f t="shared" si="98"/>
        <v>238.82400000000001</v>
      </c>
      <c r="O234" s="216"/>
    </row>
    <row r="235" spans="1:17" x14ac:dyDescent="0.15">
      <c r="A235" s="35">
        <f>IF(G235&lt;&gt;"",1+MAX($A$6:A234),"")</f>
        <v>169</v>
      </c>
      <c r="B235" s="104" t="s">
        <v>438</v>
      </c>
      <c r="C235" s="15"/>
      <c r="D235" s="14"/>
      <c r="E235" s="190" t="s">
        <v>375</v>
      </c>
      <c r="F235" s="191" t="s">
        <v>31</v>
      </c>
      <c r="G235" s="191">
        <v>3</v>
      </c>
      <c r="H235" s="50">
        <v>7.0000000000000007E-2</v>
      </c>
      <c r="I235" s="18">
        <f t="shared" si="97"/>
        <v>3.21</v>
      </c>
      <c r="J235" s="194">
        <f>6.2*8</f>
        <v>49.6</v>
      </c>
      <c r="K235" s="194">
        <f>3.3*8</f>
        <v>26.4</v>
      </c>
      <c r="L235" s="219">
        <f t="shared" si="99"/>
        <v>159.21600000000001</v>
      </c>
      <c r="M235" s="219">
        <f t="shared" si="100"/>
        <v>84.744</v>
      </c>
      <c r="N235" s="20">
        <f t="shared" si="98"/>
        <v>243.96</v>
      </c>
      <c r="O235" s="216"/>
    </row>
    <row r="236" spans="1:17" x14ac:dyDescent="0.15">
      <c r="A236" s="35">
        <f>IF(G236&lt;&gt;"",1+MAX($A$6:A235),"")</f>
        <v>170</v>
      </c>
      <c r="B236" s="104" t="s">
        <v>438</v>
      </c>
      <c r="C236" s="15"/>
      <c r="D236" s="57"/>
      <c r="E236" s="190" t="s">
        <v>376</v>
      </c>
      <c r="F236" s="191" t="s">
        <v>31</v>
      </c>
      <c r="G236" s="191">
        <v>1</v>
      </c>
      <c r="H236" s="8">
        <v>7.0000000000000007E-2</v>
      </c>
      <c r="I236" s="18">
        <f t="shared" ref="I236:I268" si="101">G236*(1+H236)</f>
        <v>1.07</v>
      </c>
      <c r="J236" s="194">
        <f>6.2*13</f>
        <v>80.600000000000009</v>
      </c>
      <c r="K236" s="194">
        <f>3.3*13</f>
        <v>42.9</v>
      </c>
      <c r="L236" s="219">
        <f t="shared" si="99"/>
        <v>86.242000000000019</v>
      </c>
      <c r="M236" s="219">
        <f t="shared" si="100"/>
        <v>45.902999999999999</v>
      </c>
      <c r="N236" s="20">
        <f t="shared" ref="N236:N268" si="102">L236+M236</f>
        <v>132.14500000000001</v>
      </c>
      <c r="O236" s="216"/>
    </row>
    <row r="237" spans="1:17" x14ac:dyDescent="0.15">
      <c r="A237" s="35">
        <f>IF(G237&lt;&gt;"",1+MAX($A$6:A236),"")</f>
        <v>171</v>
      </c>
      <c r="B237" s="104" t="s">
        <v>438</v>
      </c>
      <c r="C237" s="15"/>
      <c r="D237" s="14"/>
      <c r="E237" s="190" t="s">
        <v>377</v>
      </c>
      <c r="F237" s="191" t="s">
        <v>31</v>
      </c>
      <c r="G237" s="191">
        <v>1</v>
      </c>
      <c r="H237" s="8">
        <v>7.0000000000000007E-2</v>
      </c>
      <c r="I237" s="18">
        <f t="shared" si="101"/>
        <v>1.07</v>
      </c>
      <c r="J237" s="194">
        <f>6.2*7</f>
        <v>43.4</v>
      </c>
      <c r="K237" s="194">
        <f>3.3*7</f>
        <v>23.099999999999998</v>
      </c>
      <c r="L237" s="219">
        <f t="shared" si="99"/>
        <v>46.438000000000002</v>
      </c>
      <c r="M237" s="219">
        <f t="shared" si="100"/>
        <v>24.716999999999999</v>
      </c>
      <c r="N237" s="20">
        <f t="shared" si="102"/>
        <v>71.155000000000001</v>
      </c>
      <c r="O237" s="216"/>
    </row>
    <row r="238" spans="1:17" x14ac:dyDescent="0.15">
      <c r="A238" s="35">
        <f>IF(G238&lt;&gt;"",1+MAX($A$6:A237),"")</f>
        <v>172</v>
      </c>
      <c r="B238" s="104" t="s">
        <v>438</v>
      </c>
      <c r="C238" s="15"/>
      <c r="D238" s="14"/>
      <c r="E238" s="190" t="s">
        <v>378</v>
      </c>
      <c r="F238" s="191" t="s">
        <v>31</v>
      </c>
      <c r="G238" s="191">
        <v>1</v>
      </c>
      <c r="H238" s="50">
        <v>7.0000000000000007E-2</v>
      </c>
      <c r="I238" s="18">
        <f t="shared" si="101"/>
        <v>1.07</v>
      </c>
      <c r="J238" s="194">
        <f>6.2*3</f>
        <v>18.600000000000001</v>
      </c>
      <c r="K238" s="194">
        <f>3.3*3</f>
        <v>9.8999999999999986</v>
      </c>
      <c r="L238" s="219">
        <f t="shared" si="99"/>
        <v>19.902000000000001</v>
      </c>
      <c r="M238" s="219">
        <f t="shared" si="100"/>
        <v>10.593</v>
      </c>
      <c r="N238" s="20">
        <f t="shared" si="102"/>
        <v>30.495000000000001</v>
      </c>
      <c r="O238" s="216"/>
    </row>
    <row r="239" spans="1:17" x14ac:dyDescent="0.15">
      <c r="A239" s="35">
        <f>IF(G239&lt;&gt;"",1+MAX($A$6:A238),"")</f>
        <v>173</v>
      </c>
      <c r="B239" s="104" t="s">
        <v>438</v>
      </c>
      <c r="C239" s="15"/>
      <c r="D239" s="14"/>
      <c r="E239" s="190" t="s">
        <v>379</v>
      </c>
      <c r="F239" s="191" t="s">
        <v>31</v>
      </c>
      <c r="G239" s="191">
        <v>2</v>
      </c>
      <c r="H239" s="50">
        <v>7.0000000000000007E-2</v>
      </c>
      <c r="I239" s="53">
        <f t="shared" si="101"/>
        <v>2.14</v>
      </c>
      <c r="J239" s="194">
        <f>6.2*9</f>
        <v>55.800000000000004</v>
      </c>
      <c r="K239" s="194">
        <f>3.3*9</f>
        <v>29.7</v>
      </c>
      <c r="L239" s="219">
        <f t="shared" si="99"/>
        <v>119.41200000000002</v>
      </c>
      <c r="M239" s="219">
        <f t="shared" si="100"/>
        <v>63.558</v>
      </c>
      <c r="N239" s="20">
        <f t="shared" si="102"/>
        <v>182.97000000000003</v>
      </c>
      <c r="O239" s="216"/>
    </row>
    <row r="240" spans="1:17" x14ac:dyDescent="0.15">
      <c r="A240" s="35">
        <f>IF(G240&lt;&gt;"",1+MAX($A$6:A239),"")</f>
        <v>174</v>
      </c>
      <c r="B240" s="104" t="s">
        <v>438</v>
      </c>
      <c r="C240" s="15"/>
      <c r="D240" s="14"/>
      <c r="E240" s="190" t="s">
        <v>380</v>
      </c>
      <c r="F240" s="191" t="s">
        <v>31</v>
      </c>
      <c r="G240" s="191">
        <v>1</v>
      </c>
      <c r="H240" s="8">
        <v>7.0000000000000007E-2</v>
      </c>
      <c r="I240" s="18">
        <f t="shared" si="101"/>
        <v>1.07</v>
      </c>
      <c r="J240" s="194">
        <f>9.8*17</f>
        <v>166.60000000000002</v>
      </c>
      <c r="K240" s="194">
        <f>4.9*17</f>
        <v>83.300000000000011</v>
      </c>
      <c r="L240" s="219">
        <f t="shared" si="99"/>
        <v>178.26200000000003</v>
      </c>
      <c r="M240" s="219">
        <f t="shared" si="100"/>
        <v>89.131000000000014</v>
      </c>
      <c r="N240" s="20">
        <f t="shared" si="102"/>
        <v>267.39300000000003</v>
      </c>
      <c r="O240" s="216"/>
    </row>
    <row r="241" spans="1:17" x14ac:dyDescent="0.15">
      <c r="A241" s="35">
        <f>IF(G241&lt;&gt;"",1+MAX($A$6:A240),"")</f>
        <v>175</v>
      </c>
      <c r="B241" s="104" t="s">
        <v>438</v>
      </c>
      <c r="C241" s="15"/>
      <c r="D241" s="14"/>
      <c r="E241" s="190" t="s">
        <v>381</v>
      </c>
      <c r="F241" s="191" t="s">
        <v>31</v>
      </c>
      <c r="G241" s="191">
        <v>1</v>
      </c>
      <c r="H241" s="8">
        <v>7.0000000000000007E-2</v>
      </c>
      <c r="I241" s="18">
        <f t="shared" si="101"/>
        <v>1.07</v>
      </c>
      <c r="J241" s="194">
        <f>11.2*13</f>
        <v>145.6</v>
      </c>
      <c r="K241" s="194">
        <f>5.6*13</f>
        <v>72.8</v>
      </c>
      <c r="L241" s="219">
        <f t="shared" si="99"/>
        <v>155.792</v>
      </c>
      <c r="M241" s="219">
        <f t="shared" si="100"/>
        <v>77.896000000000001</v>
      </c>
      <c r="N241" s="20">
        <f t="shared" si="102"/>
        <v>233.68799999999999</v>
      </c>
      <c r="O241" s="216"/>
      <c r="Q241" s="52"/>
    </row>
    <row r="242" spans="1:17" x14ac:dyDescent="0.15">
      <c r="A242" s="35">
        <f>IF(G242&lt;&gt;"",1+MAX($A$6:A241),"")</f>
        <v>176</v>
      </c>
      <c r="B242" s="104" t="s">
        <v>438</v>
      </c>
      <c r="C242" s="15"/>
      <c r="D242" s="14"/>
      <c r="E242" s="190" t="s">
        <v>382</v>
      </c>
      <c r="F242" s="191" t="s">
        <v>31</v>
      </c>
      <c r="G242" s="191">
        <v>1</v>
      </c>
      <c r="H242" s="8">
        <v>7.0000000000000007E-2</v>
      </c>
      <c r="I242" s="18">
        <f t="shared" si="101"/>
        <v>1.07</v>
      </c>
      <c r="J242" s="194">
        <f>11.2*17</f>
        <v>190.39999999999998</v>
      </c>
      <c r="K242" s="194">
        <f>5.5*17</f>
        <v>93.5</v>
      </c>
      <c r="L242" s="219">
        <f t="shared" si="99"/>
        <v>203.72799999999998</v>
      </c>
      <c r="M242" s="219">
        <f t="shared" si="100"/>
        <v>100.045</v>
      </c>
      <c r="N242" s="20">
        <f t="shared" si="102"/>
        <v>303.77299999999997</v>
      </c>
      <c r="O242" s="216"/>
    </row>
    <row r="243" spans="1:17" x14ac:dyDescent="0.15">
      <c r="A243" s="35">
        <f>IF(G243&lt;&gt;"",1+MAX($A$6:A242),"")</f>
        <v>177</v>
      </c>
      <c r="B243" s="104" t="s">
        <v>438</v>
      </c>
      <c r="C243" s="15"/>
      <c r="D243" s="14"/>
      <c r="E243" s="190" t="s">
        <v>383</v>
      </c>
      <c r="F243" s="191" t="s">
        <v>31</v>
      </c>
      <c r="G243" s="191">
        <v>24</v>
      </c>
      <c r="H243" s="50">
        <v>7.0000000000000007E-2</v>
      </c>
      <c r="I243" s="53">
        <f t="shared" si="101"/>
        <v>25.68</v>
      </c>
      <c r="J243" s="194">
        <f>14.5*10</f>
        <v>145</v>
      </c>
      <c r="K243" s="194">
        <f>6.5*10</f>
        <v>65</v>
      </c>
      <c r="L243" s="219">
        <f t="shared" si="99"/>
        <v>3723.6</v>
      </c>
      <c r="M243" s="219">
        <f t="shared" si="100"/>
        <v>1669.2</v>
      </c>
      <c r="N243" s="20">
        <f t="shared" si="102"/>
        <v>5392.8</v>
      </c>
      <c r="O243" s="216"/>
    </row>
    <row r="244" spans="1:17" x14ac:dyDescent="0.15">
      <c r="A244" s="35">
        <f>IF(G244&lt;&gt;"",1+MAX($A$6:A243),"")</f>
        <v>178</v>
      </c>
      <c r="B244" s="104" t="s">
        <v>438</v>
      </c>
      <c r="C244" s="15"/>
      <c r="D244" s="14"/>
      <c r="E244" s="190" t="s">
        <v>384</v>
      </c>
      <c r="F244" s="191" t="s">
        <v>31</v>
      </c>
      <c r="G244" s="191">
        <v>1</v>
      </c>
      <c r="H244" s="50">
        <v>7.0000000000000007E-2</v>
      </c>
      <c r="I244" s="18">
        <f t="shared" si="101"/>
        <v>1.07</v>
      </c>
      <c r="J244" s="194">
        <f>6.7*11</f>
        <v>73.7</v>
      </c>
      <c r="K244" s="194">
        <f>3.9*11</f>
        <v>42.9</v>
      </c>
      <c r="L244" s="219">
        <f t="shared" si="99"/>
        <v>78.859000000000009</v>
      </c>
      <c r="M244" s="219">
        <f t="shared" si="100"/>
        <v>45.902999999999999</v>
      </c>
      <c r="N244" s="20">
        <f t="shared" si="102"/>
        <v>124.762</v>
      </c>
      <c r="O244" s="216"/>
    </row>
    <row r="245" spans="1:17" x14ac:dyDescent="0.15">
      <c r="A245" s="35">
        <f>IF(G245&lt;&gt;"",1+MAX($A$6:A244),"")</f>
        <v>179</v>
      </c>
      <c r="B245" s="104" t="s">
        <v>438</v>
      </c>
      <c r="C245" s="15"/>
      <c r="D245" s="14"/>
      <c r="E245" s="190" t="s">
        <v>385</v>
      </c>
      <c r="F245" s="191" t="s">
        <v>31</v>
      </c>
      <c r="G245" s="191">
        <v>1</v>
      </c>
      <c r="H245" s="8">
        <v>7.0000000000000007E-2</v>
      </c>
      <c r="I245" s="18">
        <f t="shared" si="101"/>
        <v>1.07</v>
      </c>
      <c r="J245" s="194">
        <f>6.7*13</f>
        <v>87.100000000000009</v>
      </c>
      <c r="K245" s="194">
        <f>3.9*13</f>
        <v>50.699999999999996</v>
      </c>
      <c r="L245" s="219">
        <f t="shared" si="99"/>
        <v>93.197000000000017</v>
      </c>
      <c r="M245" s="219">
        <f t="shared" si="100"/>
        <v>54.248999999999995</v>
      </c>
      <c r="N245" s="20">
        <f t="shared" si="102"/>
        <v>147.44600000000003</v>
      </c>
      <c r="O245" s="216"/>
    </row>
    <row r="246" spans="1:17" x14ac:dyDescent="0.15">
      <c r="A246" s="35">
        <f>IF(G246&lt;&gt;"",1+MAX($A$6:A245),"")</f>
        <v>180</v>
      </c>
      <c r="B246" s="104" t="s">
        <v>438</v>
      </c>
      <c r="C246" s="15"/>
      <c r="D246" s="14"/>
      <c r="E246" s="190" t="s">
        <v>386</v>
      </c>
      <c r="F246" s="191" t="s">
        <v>31</v>
      </c>
      <c r="G246" s="191">
        <v>1</v>
      </c>
      <c r="H246" s="50">
        <v>7.0000000000000007E-2</v>
      </c>
      <c r="I246" s="53">
        <f t="shared" si="101"/>
        <v>1.07</v>
      </c>
      <c r="J246" s="194">
        <f>14.3*15</f>
        <v>214.5</v>
      </c>
      <c r="K246" s="194">
        <f>6.7*15</f>
        <v>100.5</v>
      </c>
      <c r="L246" s="219">
        <f t="shared" si="99"/>
        <v>229.51500000000001</v>
      </c>
      <c r="M246" s="219">
        <f t="shared" si="100"/>
        <v>107.53500000000001</v>
      </c>
      <c r="N246" s="20">
        <f t="shared" si="102"/>
        <v>337.05</v>
      </c>
      <c r="O246" s="216"/>
    </row>
    <row r="247" spans="1:17" x14ac:dyDescent="0.15">
      <c r="A247" s="35">
        <f>IF(G247&lt;&gt;"",1+MAX($A$6:A246),"")</f>
        <v>181</v>
      </c>
      <c r="B247" s="104" t="s">
        <v>438</v>
      </c>
      <c r="C247" s="15"/>
      <c r="D247" s="14"/>
      <c r="E247" s="190" t="s">
        <v>387</v>
      </c>
      <c r="F247" s="191" t="s">
        <v>31</v>
      </c>
      <c r="G247" s="191">
        <v>2</v>
      </c>
      <c r="H247" s="50">
        <v>7.0000000000000007E-2</v>
      </c>
      <c r="I247" s="18">
        <f t="shared" si="101"/>
        <v>2.14</v>
      </c>
      <c r="J247" s="194">
        <f>14.3*38</f>
        <v>543.4</v>
      </c>
      <c r="K247" s="194">
        <f>7.7*38</f>
        <v>292.60000000000002</v>
      </c>
      <c r="L247" s="219">
        <f t="shared" si="99"/>
        <v>1162.876</v>
      </c>
      <c r="M247" s="219">
        <f t="shared" si="100"/>
        <v>626.1640000000001</v>
      </c>
      <c r="N247" s="20">
        <f t="shared" si="102"/>
        <v>1789.04</v>
      </c>
      <c r="O247" s="216"/>
    </row>
    <row r="248" spans="1:17" x14ac:dyDescent="0.15">
      <c r="A248" s="35">
        <f>IF(G248&lt;&gt;"",1+MAX($A$6:A247),"")</f>
        <v>182</v>
      </c>
      <c r="B248" s="104" t="s">
        <v>438</v>
      </c>
      <c r="C248" s="15"/>
      <c r="D248" s="14"/>
      <c r="E248" s="190" t="s">
        <v>388</v>
      </c>
      <c r="F248" s="191" t="s">
        <v>31</v>
      </c>
      <c r="G248" s="191">
        <v>4</v>
      </c>
      <c r="H248" s="8">
        <v>7.0000000000000007E-2</v>
      </c>
      <c r="I248" s="18">
        <f t="shared" si="101"/>
        <v>4.28</v>
      </c>
      <c r="J248" s="194">
        <f>21.2*43</f>
        <v>911.6</v>
      </c>
      <c r="K248" s="194">
        <f>8.9*43</f>
        <v>382.7</v>
      </c>
      <c r="L248" s="219">
        <f t="shared" si="99"/>
        <v>3901.6480000000001</v>
      </c>
      <c r="M248" s="219">
        <f t="shared" si="100"/>
        <v>1637.9560000000001</v>
      </c>
      <c r="N248" s="20">
        <f t="shared" si="102"/>
        <v>5539.6040000000003</v>
      </c>
      <c r="O248" s="216"/>
    </row>
    <row r="249" spans="1:17" ht="15.75" thickBot="1" x14ac:dyDescent="0.2">
      <c r="A249" s="35">
        <f>IF(G249&lt;&gt;"",1+MAX($A$6:A248),"")</f>
        <v>183</v>
      </c>
      <c r="B249" s="104" t="s">
        <v>438</v>
      </c>
      <c r="C249" s="15"/>
      <c r="D249" s="57"/>
      <c r="E249" s="190" t="s">
        <v>389</v>
      </c>
      <c r="F249" s="191" t="s">
        <v>31</v>
      </c>
      <c r="G249" s="191">
        <v>3</v>
      </c>
      <c r="H249" s="8">
        <v>7.0000000000000007E-2</v>
      </c>
      <c r="I249" s="18">
        <f t="shared" si="101"/>
        <v>3.21</v>
      </c>
      <c r="J249" s="194">
        <f>21.2*44</f>
        <v>932.8</v>
      </c>
      <c r="K249" s="194">
        <f>8.9*44</f>
        <v>391.6</v>
      </c>
      <c r="L249" s="219">
        <f t="shared" si="99"/>
        <v>2994.288</v>
      </c>
      <c r="M249" s="219">
        <f t="shared" si="100"/>
        <v>1257.0360000000001</v>
      </c>
      <c r="N249" s="20">
        <f t="shared" si="102"/>
        <v>4251.3240000000005</v>
      </c>
      <c r="O249" s="216"/>
    </row>
    <row r="250" spans="1:17" ht="15.75" thickBot="1" x14ac:dyDescent="0.2">
      <c r="A250" s="35" t="str">
        <f>IF(G250&lt;&gt;"",1+MAX($A$6:A249),"")</f>
        <v/>
      </c>
      <c r="B250" s="104"/>
      <c r="C250" s="42"/>
      <c r="D250" s="43"/>
      <c r="E250" s="240" t="s">
        <v>419</v>
      </c>
      <c r="F250" s="241"/>
      <c r="G250" s="242"/>
      <c r="H250" s="44"/>
      <c r="I250" s="45"/>
      <c r="J250" s="214"/>
      <c r="K250" s="214"/>
      <c r="L250" s="214"/>
      <c r="M250" s="214"/>
      <c r="N250" s="215"/>
      <c r="O250" s="216"/>
    </row>
    <row r="251" spans="1:17" ht="30.75" thickBot="1" x14ac:dyDescent="0.25">
      <c r="A251" s="35">
        <f>IF(G251&lt;&gt;"",1+MAX($A$6:A250),"")</f>
        <v>184</v>
      </c>
      <c r="B251" s="104" t="s">
        <v>438</v>
      </c>
      <c r="C251" s="15"/>
      <c r="D251" s="14"/>
      <c r="E251" s="190" t="s">
        <v>390</v>
      </c>
      <c r="F251" s="191" t="s">
        <v>91</v>
      </c>
      <c r="G251" s="191">
        <v>1172.45</v>
      </c>
      <c r="H251" s="8">
        <v>7.0000000000000007E-2</v>
      </c>
      <c r="I251" s="18">
        <f t="shared" si="101"/>
        <v>1254.5215000000001</v>
      </c>
      <c r="J251" s="194">
        <v>3.9</v>
      </c>
      <c r="K251" s="194">
        <v>1.8</v>
      </c>
      <c r="L251" s="219">
        <f>J251*I251</f>
        <v>4892.6338500000002</v>
      </c>
      <c r="M251" s="219">
        <f>K251*I251</f>
        <v>2258.1387</v>
      </c>
      <c r="N251" s="20">
        <f t="shared" si="102"/>
        <v>7150.7725499999997</v>
      </c>
      <c r="O251" s="216"/>
    </row>
    <row r="252" spans="1:17" ht="15.75" thickBot="1" x14ac:dyDescent="0.2">
      <c r="A252" s="35" t="str">
        <f>IF(G252&lt;&gt;"",1+MAX($A$6:A251),"")</f>
        <v/>
      </c>
      <c r="B252" s="104"/>
      <c r="C252" s="42"/>
      <c r="D252" s="43"/>
      <c r="E252" s="240" t="s">
        <v>420</v>
      </c>
      <c r="F252" s="241"/>
      <c r="G252" s="242"/>
      <c r="H252" s="44"/>
      <c r="I252" s="45"/>
      <c r="J252" s="214"/>
      <c r="K252" s="214"/>
      <c r="L252" s="214"/>
      <c r="M252" s="214"/>
      <c r="N252" s="215"/>
      <c r="O252" s="216"/>
    </row>
    <row r="253" spans="1:17" x14ac:dyDescent="0.15">
      <c r="A253" s="35">
        <f>IF(G253&lt;&gt;"",1+MAX($A$6:A252),"")</f>
        <v>185</v>
      </c>
      <c r="B253" s="104" t="s">
        <v>438</v>
      </c>
      <c r="C253" s="15"/>
      <c r="D253" s="14"/>
      <c r="E253" s="190" t="s">
        <v>391</v>
      </c>
      <c r="F253" s="191" t="s">
        <v>31</v>
      </c>
      <c r="G253" s="191">
        <v>1</v>
      </c>
      <c r="H253" s="50">
        <v>7.0000000000000007E-2</v>
      </c>
      <c r="I253" s="18">
        <f t="shared" si="101"/>
        <v>1.07</v>
      </c>
      <c r="J253" s="194">
        <f>3.5*28</f>
        <v>98</v>
      </c>
      <c r="K253" s="194">
        <f>1.8*28</f>
        <v>50.4</v>
      </c>
      <c r="L253" s="219">
        <f t="shared" ref="L253:L274" si="103">J253*I253</f>
        <v>104.86</v>
      </c>
      <c r="M253" s="219">
        <f t="shared" ref="M253:M274" si="104">K253*I253</f>
        <v>53.928000000000004</v>
      </c>
      <c r="N253" s="20">
        <f t="shared" si="102"/>
        <v>158.78800000000001</v>
      </c>
      <c r="O253" s="216"/>
    </row>
    <row r="254" spans="1:17" x14ac:dyDescent="0.15">
      <c r="A254" s="35">
        <f>IF(G254&lt;&gt;"",1+MAX($A$6:A253),"")</f>
        <v>186</v>
      </c>
      <c r="B254" s="104" t="s">
        <v>438</v>
      </c>
      <c r="C254" s="15"/>
      <c r="D254" s="14"/>
      <c r="E254" s="190" t="s">
        <v>392</v>
      </c>
      <c r="F254" s="191" t="s">
        <v>31</v>
      </c>
      <c r="G254" s="191">
        <v>1</v>
      </c>
      <c r="H254" s="50">
        <v>7.0000000000000007E-2</v>
      </c>
      <c r="I254" s="18">
        <f t="shared" si="101"/>
        <v>1.07</v>
      </c>
      <c r="J254" s="194">
        <f>3.5*26</f>
        <v>91</v>
      </c>
      <c r="K254" s="194">
        <f>1.8*26</f>
        <v>46.800000000000004</v>
      </c>
      <c r="L254" s="219">
        <f t="shared" si="103"/>
        <v>97.37</v>
      </c>
      <c r="M254" s="219">
        <f t="shared" si="104"/>
        <v>50.076000000000008</v>
      </c>
      <c r="N254" s="20">
        <f t="shared" si="102"/>
        <v>147.44600000000003</v>
      </c>
      <c r="O254" s="216"/>
    </row>
    <row r="255" spans="1:17" x14ac:dyDescent="0.15">
      <c r="A255" s="35">
        <f>IF(G255&lt;&gt;"",1+MAX($A$6:A254),"")</f>
        <v>187</v>
      </c>
      <c r="B255" s="104" t="s">
        <v>438</v>
      </c>
      <c r="C255" s="15"/>
      <c r="D255" s="57"/>
      <c r="E255" s="190" t="s">
        <v>393</v>
      </c>
      <c r="F255" s="191" t="s">
        <v>31</v>
      </c>
      <c r="G255" s="191">
        <v>1</v>
      </c>
      <c r="H255" s="8">
        <v>7.0000000000000007E-2</v>
      </c>
      <c r="I255" s="18">
        <f t="shared" si="101"/>
        <v>1.07</v>
      </c>
      <c r="J255" s="194">
        <f>3.5*24</f>
        <v>84</v>
      </c>
      <c r="K255" s="194">
        <f>1.8*24</f>
        <v>43.2</v>
      </c>
      <c r="L255" s="219">
        <f t="shared" si="103"/>
        <v>89.88000000000001</v>
      </c>
      <c r="M255" s="219">
        <f t="shared" si="104"/>
        <v>46.224000000000004</v>
      </c>
      <c r="N255" s="20">
        <f t="shared" si="102"/>
        <v>136.10400000000001</v>
      </c>
      <c r="O255" s="216"/>
    </row>
    <row r="256" spans="1:17" x14ac:dyDescent="0.15">
      <c r="A256" s="35">
        <f>IF(G256&lt;&gt;"",1+MAX($A$6:A255),"")</f>
        <v>188</v>
      </c>
      <c r="B256" s="104" t="s">
        <v>438</v>
      </c>
      <c r="C256" s="15"/>
      <c r="D256" s="14"/>
      <c r="E256" s="190" t="s">
        <v>394</v>
      </c>
      <c r="F256" s="191" t="s">
        <v>31</v>
      </c>
      <c r="G256" s="191">
        <v>1</v>
      </c>
      <c r="H256" s="8">
        <v>7.0000000000000007E-2</v>
      </c>
      <c r="I256" s="18">
        <f t="shared" si="101"/>
        <v>1.07</v>
      </c>
      <c r="J256" s="194">
        <f>3.5*22</f>
        <v>77</v>
      </c>
      <c r="K256" s="194">
        <f>1.8*22</f>
        <v>39.6</v>
      </c>
      <c r="L256" s="219">
        <f t="shared" si="103"/>
        <v>82.39</v>
      </c>
      <c r="M256" s="219">
        <f t="shared" si="104"/>
        <v>42.372000000000007</v>
      </c>
      <c r="N256" s="20">
        <f t="shared" si="102"/>
        <v>124.762</v>
      </c>
      <c r="O256" s="216"/>
    </row>
    <row r="257" spans="1:17" x14ac:dyDescent="0.15">
      <c r="A257" s="35">
        <f>IF(G257&lt;&gt;"",1+MAX($A$6:A256),"")</f>
        <v>189</v>
      </c>
      <c r="B257" s="104" t="s">
        <v>438</v>
      </c>
      <c r="C257" s="15"/>
      <c r="D257" s="14"/>
      <c r="E257" s="190" t="s">
        <v>395</v>
      </c>
      <c r="F257" s="191" t="s">
        <v>31</v>
      </c>
      <c r="G257" s="191">
        <v>1</v>
      </c>
      <c r="H257" s="50">
        <v>7.0000000000000007E-2</v>
      </c>
      <c r="I257" s="18">
        <f t="shared" si="101"/>
        <v>1.07</v>
      </c>
      <c r="J257" s="194">
        <f>3.5*20</f>
        <v>70</v>
      </c>
      <c r="K257" s="194">
        <f>1.8*20</f>
        <v>36</v>
      </c>
      <c r="L257" s="219">
        <f t="shared" si="103"/>
        <v>74.900000000000006</v>
      </c>
      <c r="M257" s="219">
        <f t="shared" si="104"/>
        <v>38.520000000000003</v>
      </c>
      <c r="N257" s="20">
        <f t="shared" si="102"/>
        <v>113.42000000000002</v>
      </c>
      <c r="O257" s="216"/>
    </row>
    <row r="258" spans="1:17" x14ac:dyDescent="0.15">
      <c r="A258" s="35">
        <f>IF(G258&lt;&gt;"",1+MAX($A$6:A257),"")</f>
        <v>190</v>
      </c>
      <c r="B258" s="104" t="s">
        <v>438</v>
      </c>
      <c r="C258" s="15"/>
      <c r="D258" s="14"/>
      <c r="E258" s="190" t="s">
        <v>396</v>
      </c>
      <c r="F258" s="191" t="s">
        <v>31</v>
      </c>
      <c r="G258" s="191">
        <v>1</v>
      </c>
      <c r="H258" s="50">
        <v>7.0000000000000007E-2</v>
      </c>
      <c r="I258" s="53">
        <f t="shared" si="101"/>
        <v>1.07</v>
      </c>
      <c r="J258" s="194">
        <f>3.5*16</f>
        <v>56</v>
      </c>
      <c r="K258" s="194">
        <f>1.8*16</f>
        <v>28.8</v>
      </c>
      <c r="L258" s="219">
        <f t="shared" si="103"/>
        <v>59.92</v>
      </c>
      <c r="M258" s="219">
        <f t="shared" si="104"/>
        <v>30.816000000000003</v>
      </c>
      <c r="N258" s="20">
        <f t="shared" si="102"/>
        <v>90.736000000000004</v>
      </c>
      <c r="O258" s="216"/>
    </row>
    <row r="259" spans="1:17" x14ac:dyDescent="0.15">
      <c r="A259" s="35">
        <f>IF(G259&lt;&gt;"",1+MAX($A$6:A258),"")</f>
        <v>191</v>
      </c>
      <c r="B259" s="104" t="s">
        <v>438</v>
      </c>
      <c r="C259" s="15"/>
      <c r="D259" s="14"/>
      <c r="E259" s="190" t="s">
        <v>397</v>
      </c>
      <c r="F259" s="191" t="s">
        <v>31</v>
      </c>
      <c r="G259" s="191">
        <v>1</v>
      </c>
      <c r="H259" s="8">
        <v>7.0000000000000007E-2</v>
      </c>
      <c r="I259" s="18">
        <f t="shared" si="101"/>
        <v>1.07</v>
      </c>
      <c r="J259" s="194">
        <f>3.5*12</f>
        <v>42</v>
      </c>
      <c r="K259" s="194">
        <f>1.8*12</f>
        <v>21.6</v>
      </c>
      <c r="L259" s="219">
        <f t="shared" si="103"/>
        <v>44.940000000000005</v>
      </c>
      <c r="M259" s="219">
        <f t="shared" si="104"/>
        <v>23.112000000000002</v>
      </c>
      <c r="N259" s="20">
        <f t="shared" si="102"/>
        <v>68.052000000000007</v>
      </c>
      <c r="O259" s="216"/>
    </row>
    <row r="260" spans="1:17" x14ac:dyDescent="0.15">
      <c r="A260" s="35">
        <f>IF(G260&lt;&gt;"",1+MAX($A$6:A259),"")</f>
        <v>192</v>
      </c>
      <c r="B260" s="104" t="s">
        <v>438</v>
      </c>
      <c r="C260" s="15"/>
      <c r="D260" s="14"/>
      <c r="E260" s="190" t="s">
        <v>398</v>
      </c>
      <c r="F260" s="191" t="s">
        <v>31</v>
      </c>
      <c r="G260" s="191">
        <v>2</v>
      </c>
      <c r="H260" s="8">
        <v>7.0000000000000007E-2</v>
      </c>
      <c r="I260" s="18">
        <f t="shared" si="101"/>
        <v>2.14</v>
      </c>
      <c r="J260" s="194">
        <f>3.5*8</f>
        <v>28</v>
      </c>
      <c r="K260" s="194">
        <f>1.8*8</f>
        <v>14.4</v>
      </c>
      <c r="L260" s="219">
        <f t="shared" si="103"/>
        <v>59.92</v>
      </c>
      <c r="M260" s="219">
        <f t="shared" si="104"/>
        <v>30.816000000000003</v>
      </c>
      <c r="N260" s="20">
        <f t="shared" si="102"/>
        <v>90.736000000000004</v>
      </c>
      <c r="O260" s="216"/>
      <c r="Q260" s="52"/>
    </row>
    <row r="261" spans="1:17" x14ac:dyDescent="0.15">
      <c r="A261" s="35">
        <f>IF(G261&lt;&gt;"",1+MAX($A$6:A260),"")</f>
        <v>193</v>
      </c>
      <c r="B261" s="104" t="s">
        <v>438</v>
      </c>
      <c r="C261" s="15"/>
      <c r="D261" s="14"/>
      <c r="E261" s="190" t="s">
        <v>399</v>
      </c>
      <c r="F261" s="191" t="s">
        <v>31</v>
      </c>
      <c r="G261" s="191">
        <v>2</v>
      </c>
      <c r="H261" s="8">
        <v>7.0000000000000007E-2</v>
      </c>
      <c r="I261" s="18">
        <f t="shared" si="101"/>
        <v>2.14</v>
      </c>
      <c r="J261" s="194">
        <f>3.5*4</f>
        <v>14</v>
      </c>
      <c r="K261" s="194">
        <f>1.8*4</f>
        <v>7.2</v>
      </c>
      <c r="L261" s="219">
        <f t="shared" si="103"/>
        <v>29.96</v>
      </c>
      <c r="M261" s="219">
        <f t="shared" si="104"/>
        <v>15.408000000000001</v>
      </c>
      <c r="N261" s="20">
        <f t="shared" si="102"/>
        <v>45.368000000000002</v>
      </c>
      <c r="O261" s="216"/>
    </row>
    <row r="262" spans="1:17" x14ac:dyDescent="0.15">
      <c r="A262" s="35">
        <f>IF(G262&lt;&gt;"",1+MAX($A$6:A261),"")</f>
        <v>194</v>
      </c>
      <c r="B262" s="104" t="s">
        <v>438</v>
      </c>
      <c r="C262" s="15"/>
      <c r="D262" s="14"/>
      <c r="E262" s="190" t="s">
        <v>400</v>
      </c>
      <c r="F262" s="191" t="s">
        <v>31</v>
      </c>
      <c r="G262" s="191">
        <v>5</v>
      </c>
      <c r="H262" s="50">
        <v>7.0000000000000007E-2</v>
      </c>
      <c r="I262" s="53">
        <f t="shared" si="101"/>
        <v>5.3500000000000005</v>
      </c>
      <c r="J262" s="194">
        <f>3.5*14</f>
        <v>49</v>
      </c>
      <c r="K262" s="194">
        <f>1.8*14</f>
        <v>25.2</v>
      </c>
      <c r="L262" s="219">
        <f t="shared" si="103"/>
        <v>262.15000000000003</v>
      </c>
      <c r="M262" s="219">
        <f t="shared" si="104"/>
        <v>134.82000000000002</v>
      </c>
      <c r="N262" s="20">
        <f t="shared" si="102"/>
        <v>396.97</v>
      </c>
      <c r="O262" s="216"/>
    </row>
    <row r="263" spans="1:17" x14ac:dyDescent="0.15">
      <c r="A263" s="35">
        <f>IF(G263&lt;&gt;"",1+MAX($A$6:A262),"")</f>
        <v>195</v>
      </c>
      <c r="B263" s="104" t="s">
        <v>438</v>
      </c>
      <c r="C263" s="15"/>
      <c r="D263" s="14"/>
      <c r="E263" s="190" t="s">
        <v>401</v>
      </c>
      <c r="F263" s="191" t="s">
        <v>31</v>
      </c>
      <c r="G263" s="191">
        <v>1</v>
      </c>
      <c r="H263" s="50">
        <v>7.0000000000000007E-2</v>
      </c>
      <c r="I263" s="18">
        <f t="shared" si="101"/>
        <v>1.07</v>
      </c>
      <c r="J263" s="194">
        <f>3.5*13</f>
        <v>45.5</v>
      </c>
      <c r="K263" s="194">
        <f>1.8*13</f>
        <v>23.400000000000002</v>
      </c>
      <c r="L263" s="219">
        <f t="shared" si="103"/>
        <v>48.685000000000002</v>
      </c>
      <c r="M263" s="219">
        <f t="shared" si="104"/>
        <v>25.038000000000004</v>
      </c>
      <c r="N263" s="20">
        <f t="shared" si="102"/>
        <v>73.723000000000013</v>
      </c>
      <c r="O263" s="216"/>
    </row>
    <row r="264" spans="1:17" x14ac:dyDescent="0.15">
      <c r="A264" s="35">
        <f>IF(G264&lt;&gt;"",1+MAX($A$6:A263),"")</f>
        <v>196</v>
      </c>
      <c r="B264" s="104" t="s">
        <v>438</v>
      </c>
      <c r="C264" s="15"/>
      <c r="D264" s="14"/>
      <c r="E264" s="190" t="s">
        <v>402</v>
      </c>
      <c r="F264" s="191" t="s">
        <v>31</v>
      </c>
      <c r="G264" s="191">
        <v>2</v>
      </c>
      <c r="H264" s="8">
        <v>7.0000000000000007E-2</v>
      </c>
      <c r="I264" s="18">
        <f t="shared" si="101"/>
        <v>2.14</v>
      </c>
      <c r="J264" s="194">
        <f>3.5*9</f>
        <v>31.5</v>
      </c>
      <c r="K264" s="194">
        <f>1.8*9</f>
        <v>16.2</v>
      </c>
      <c r="L264" s="219">
        <f t="shared" si="103"/>
        <v>67.410000000000011</v>
      </c>
      <c r="M264" s="219">
        <f t="shared" si="104"/>
        <v>34.667999999999999</v>
      </c>
      <c r="N264" s="20">
        <f t="shared" si="102"/>
        <v>102.078</v>
      </c>
      <c r="O264" s="216"/>
    </row>
    <row r="265" spans="1:17" x14ac:dyDescent="0.15">
      <c r="A265" s="35">
        <f>IF(G265&lt;&gt;"",1+MAX($A$6:A264),"")</f>
        <v>197</v>
      </c>
      <c r="B265" s="104" t="s">
        <v>438</v>
      </c>
      <c r="C265" s="15"/>
      <c r="D265" s="57"/>
      <c r="E265" s="190" t="s">
        <v>403</v>
      </c>
      <c r="F265" s="191" t="s">
        <v>31</v>
      </c>
      <c r="G265" s="191">
        <v>2</v>
      </c>
      <c r="H265" s="8">
        <v>7.0000000000000007E-2</v>
      </c>
      <c r="I265" s="18">
        <f t="shared" si="101"/>
        <v>2.14</v>
      </c>
      <c r="J265" s="194">
        <f>3.5*7</f>
        <v>24.5</v>
      </c>
      <c r="K265" s="194">
        <f>1.8*7</f>
        <v>12.6</v>
      </c>
      <c r="L265" s="219">
        <f t="shared" si="103"/>
        <v>52.43</v>
      </c>
      <c r="M265" s="219">
        <f t="shared" si="104"/>
        <v>26.964000000000002</v>
      </c>
      <c r="N265" s="20">
        <f t="shared" si="102"/>
        <v>79.394000000000005</v>
      </c>
      <c r="O265" s="216"/>
    </row>
    <row r="266" spans="1:17" x14ac:dyDescent="0.15">
      <c r="A266" s="35">
        <f>IF(G266&lt;&gt;"",1+MAX($A$6:A265),"")</f>
        <v>198</v>
      </c>
      <c r="B266" s="104" t="s">
        <v>438</v>
      </c>
      <c r="C266" s="15"/>
      <c r="D266" s="14"/>
      <c r="E266" s="190" t="s">
        <v>404</v>
      </c>
      <c r="F266" s="191" t="s">
        <v>31</v>
      </c>
      <c r="G266" s="191">
        <v>1</v>
      </c>
      <c r="H266" s="8">
        <v>7.0000000000000007E-2</v>
      </c>
      <c r="I266" s="18">
        <f t="shared" si="101"/>
        <v>1.07</v>
      </c>
      <c r="J266" s="194">
        <f>3.5*5</f>
        <v>17.5</v>
      </c>
      <c r="K266" s="194">
        <f>1.8*5</f>
        <v>9</v>
      </c>
      <c r="L266" s="219">
        <f t="shared" si="103"/>
        <v>18.725000000000001</v>
      </c>
      <c r="M266" s="219">
        <f t="shared" si="104"/>
        <v>9.6300000000000008</v>
      </c>
      <c r="N266" s="20">
        <f t="shared" si="102"/>
        <v>28.355000000000004</v>
      </c>
      <c r="O266" s="216"/>
    </row>
    <row r="267" spans="1:17" x14ac:dyDescent="0.15">
      <c r="A267" s="35">
        <f>IF(G267&lt;&gt;"",1+MAX($A$6:A266),"")</f>
        <v>199</v>
      </c>
      <c r="B267" s="104" t="s">
        <v>438</v>
      </c>
      <c r="C267" s="15"/>
      <c r="D267" s="14"/>
      <c r="E267" s="190" t="s">
        <v>405</v>
      </c>
      <c r="F267" s="191" t="s">
        <v>31</v>
      </c>
      <c r="G267" s="191">
        <v>1</v>
      </c>
      <c r="H267" s="50">
        <v>7.0000000000000007E-2</v>
      </c>
      <c r="I267" s="18">
        <f t="shared" si="101"/>
        <v>1.07</v>
      </c>
      <c r="J267" s="194">
        <f>3.5*3</f>
        <v>10.5</v>
      </c>
      <c r="K267" s="194">
        <f>1.8*3</f>
        <v>5.4</v>
      </c>
      <c r="L267" s="219">
        <f t="shared" si="103"/>
        <v>11.235000000000001</v>
      </c>
      <c r="M267" s="219">
        <f t="shared" si="104"/>
        <v>5.7780000000000005</v>
      </c>
      <c r="N267" s="20">
        <f t="shared" si="102"/>
        <v>17.013000000000002</v>
      </c>
      <c r="O267" s="216"/>
    </row>
    <row r="268" spans="1:17" x14ac:dyDescent="0.15">
      <c r="A268" s="35">
        <f>IF(G268&lt;&gt;"",1+MAX($A$6:A267),"")</f>
        <v>200</v>
      </c>
      <c r="B268" s="104" t="s">
        <v>438</v>
      </c>
      <c r="C268" s="15"/>
      <c r="D268" s="14"/>
      <c r="E268" s="190" t="s">
        <v>406</v>
      </c>
      <c r="F268" s="191" t="s">
        <v>31</v>
      </c>
      <c r="G268" s="191">
        <v>291</v>
      </c>
      <c r="H268" s="50">
        <v>7.0000000000000007E-2</v>
      </c>
      <c r="I268" s="18">
        <f t="shared" si="101"/>
        <v>311.37</v>
      </c>
      <c r="J268" s="194">
        <f t="shared" ref="J268:J274" si="105">3.5*28</f>
        <v>98</v>
      </c>
      <c r="K268" s="194">
        <f>2.1*15</f>
        <v>31.5</v>
      </c>
      <c r="L268" s="219">
        <f t="shared" si="103"/>
        <v>30514.260000000002</v>
      </c>
      <c r="M268" s="219">
        <f t="shared" si="104"/>
        <v>9808.1550000000007</v>
      </c>
      <c r="N268" s="20">
        <f t="shared" si="102"/>
        <v>40322.415000000001</v>
      </c>
      <c r="O268" s="216"/>
    </row>
    <row r="269" spans="1:17" x14ac:dyDescent="0.15">
      <c r="A269" s="35">
        <f>IF(G269&lt;&gt;"",1+MAX($A$6:A268),"")</f>
        <v>201</v>
      </c>
      <c r="B269" s="104" t="s">
        <v>438</v>
      </c>
      <c r="C269" s="15"/>
      <c r="D269" s="57"/>
      <c r="E269" s="190" t="s">
        <v>407</v>
      </c>
      <c r="F269" s="191" t="s">
        <v>31</v>
      </c>
      <c r="G269" s="191">
        <v>29</v>
      </c>
      <c r="H269" s="8">
        <v>7.0000000000000007E-2</v>
      </c>
      <c r="I269" s="18">
        <f t="shared" ref="I269:I278" si="106">G269*(1+H269)</f>
        <v>31.03</v>
      </c>
      <c r="J269" s="194">
        <f t="shared" si="105"/>
        <v>98</v>
      </c>
      <c r="K269" s="194">
        <f>2.1*16</f>
        <v>33.6</v>
      </c>
      <c r="L269" s="219">
        <f t="shared" si="103"/>
        <v>3040.94</v>
      </c>
      <c r="M269" s="219">
        <f t="shared" si="104"/>
        <v>1042.6080000000002</v>
      </c>
      <c r="N269" s="20">
        <f t="shared" ref="N269:N278" si="107">L269+M269</f>
        <v>4083.5480000000002</v>
      </c>
      <c r="O269" s="216"/>
    </row>
    <row r="270" spans="1:17" x14ac:dyDescent="0.15">
      <c r="A270" s="35">
        <f>IF(G270&lt;&gt;"",1+MAX($A$6:A269),"")</f>
        <v>202</v>
      </c>
      <c r="B270" s="104" t="s">
        <v>438</v>
      </c>
      <c r="C270" s="15"/>
      <c r="D270" s="14"/>
      <c r="E270" s="190" t="s">
        <v>408</v>
      </c>
      <c r="F270" s="191" t="s">
        <v>31</v>
      </c>
      <c r="G270" s="191">
        <v>5</v>
      </c>
      <c r="H270" s="8">
        <v>7.0000000000000007E-2</v>
      </c>
      <c r="I270" s="18">
        <f t="shared" si="106"/>
        <v>5.3500000000000005</v>
      </c>
      <c r="J270" s="194">
        <f t="shared" si="105"/>
        <v>98</v>
      </c>
      <c r="K270" s="194">
        <f>2.1*7</f>
        <v>14.700000000000001</v>
      </c>
      <c r="L270" s="219">
        <f t="shared" si="103"/>
        <v>524.30000000000007</v>
      </c>
      <c r="M270" s="219">
        <f t="shared" si="104"/>
        <v>78.64500000000001</v>
      </c>
      <c r="N270" s="20">
        <f t="shared" si="107"/>
        <v>602.94500000000005</v>
      </c>
      <c r="O270" s="216"/>
    </row>
    <row r="271" spans="1:17" x14ac:dyDescent="0.15">
      <c r="A271" s="35">
        <f>IF(G271&lt;&gt;"",1+MAX($A$6:A270),"")</f>
        <v>203</v>
      </c>
      <c r="B271" s="104" t="s">
        <v>438</v>
      </c>
      <c r="C271" s="15"/>
      <c r="D271" s="14"/>
      <c r="E271" s="190" t="s">
        <v>409</v>
      </c>
      <c r="F271" s="191" t="s">
        <v>31</v>
      </c>
      <c r="G271" s="191">
        <v>19</v>
      </c>
      <c r="H271" s="50">
        <v>7.0000000000000007E-2</v>
      </c>
      <c r="I271" s="18">
        <f t="shared" si="106"/>
        <v>20.330000000000002</v>
      </c>
      <c r="J271" s="194">
        <f t="shared" si="105"/>
        <v>98</v>
      </c>
      <c r="K271" s="194">
        <f>2.2*15</f>
        <v>33</v>
      </c>
      <c r="L271" s="219">
        <f t="shared" si="103"/>
        <v>1992.3400000000001</v>
      </c>
      <c r="M271" s="219">
        <f t="shared" si="104"/>
        <v>670.8900000000001</v>
      </c>
      <c r="N271" s="20">
        <f t="shared" si="107"/>
        <v>2663.2300000000005</v>
      </c>
      <c r="O271" s="216"/>
    </row>
    <row r="272" spans="1:17" x14ac:dyDescent="0.15">
      <c r="A272" s="35">
        <f>IF(G272&lt;&gt;"",1+MAX($A$6:A271),"")</f>
        <v>204</v>
      </c>
      <c r="B272" s="104" t="s">
        <v>438</v>
      </c>
      <c r="C272" s="15"/>
      <c r="D272" s="14"/>
      <c r="E272" s="190" t="s">
        <v>410</v>
      </c>
      <c r="F272" s="191" t="s">
        <v>31</v>
      </c>
      <c r="G272" s="191">
        <v>23</v>
      </c>
      <c r="H272" s="50">
        <v>7.0000000000000007E-2</v>
      </c>
      <c r="I272" s="53">
        <f t="shared" si="106"/>
        <v>24.610000000000003</v>
      </c>
      <c r="J272" s="194">
        <f t="shared" si="105"/>
        <v>98</v>
      </c>
      <c r="K272" s="194">
        <f>2.2*13</f>
        <v>28.6</v>
      </c>
      <c r="L272" s="219">
        <f t="shared" si="103"/>
        <v>2411.7800000000002</v>
      </c>
      <c r="M272" s="219">
        <f t="shared" si="104"/>
        <v>703.84600000000012</v>
      </c>
      <c r="N272" s="20">
        <f t="shared" si="107"/>
        <v>3115.6260000000002</v>
      </c>
      <c r="O272" s="216"/>
    </row>
    <row r="273" spans="1:17" x14ac:dyDescent="0.15">
      <c r="A273" s="35">
        <f>IF(G273&lt;&gt;"",1+MAX($A$6:A272),"")</f>
        <v>205</v>
      </c>
      <c r="B273" s="104" t="s">
        <v>438</v>
      </c>
      <c r="C273" s="15"/>
      <c r="D273" s="14"/>
      <c r="E273" s="190" t="s">
        <v>411</v>
      </c>
      <c r="F273" s="191" t="s">
        <v>31</v>
      </c>
      <c r="G273" s="191">
        <v>21</v>
      </c>
      <c r="H273" s="8">
        <v>7.0000000000000007E-2</v>
      </c>
      <c r="I273" s="18">
        <f t="shared" si="106"/>
        <v>22.470000000000002</v>
      </c>
      <c r="J273" s="194">
        <f t="shared" si="105"/>
        <v>98</v>
      </c>
      <c r="K273" s="194">
        <f>2.2*11</f>
        <v>24.200000000000003</v>
      </c>
      <c r="L273" s="219">
        <f t="shared" si="103"/>
        <v>2202.0600000000004</v>
      </c>
      <c r="M273" s="219">
        <f t="shared" si="104"/>
        <v>543.77400000000011</v>
      </c>
      <c r="N273" s="20">
        <f t="shared" si="107"/>
        <v>2745.8340000000007</v>
      </c>
      <c r="O273" s="216"/>
    </row>
    <row r="274" spans="1:17" ht="15.75" thickBot="1" x14ac:dyDescent="0.2">
      <c r="A274" s="35">
        <f>IF(G274&lt;&gt;"",1+MAX($A$6:A273),"")</f>
        <v>206</v>
      </c>
      <c r="B274" s="104" t="s">
        <v>438</v>
      </c>
      <c r="C274" s="15"/>
      <c r="D274" s="14"/>
      <c r="E274" s="190" t="s">
        <v>412</v>
      </c>
      <c r="F274" s="191" t="s">
        <v>31</v>
      </c>
      <c r="G274" s="191">
        <v>176</v>
      </c>
      <c r="H274" s="8">
        <v>7.0000000000000007E-2</v>
      </c>
      <c r="I274" s="18">
        <f t="shared" si="106"/>
        <v>188.32000000000002</v>
      </c>
      <c r="J274" s="194">
        <f t="shared" si="105"/>
        <v>98</v>
      </c>
      <c r="K274" s="194">
        <f>1.7*9</f>
        <v>15.299999999999999</v>
      </c>
      <c r="L274" s="219">
        <f t="shared" si="103"/>
        <v>18455.36</v>
      </c>
      <c r="M274" s="219">
        <f t="shared" si="104"/>
        <v>2881.2960000000003</v>
      </c>
      <c r="N274" s="20">
        <f t="shared" si="107"/>
        <v>21336.656000000003</v>
      </c>
      <c r="O274" s="216"/>
      <c r="Q274" s="52"/>
    </row>
    <row r="275" spans="1:17" ht="15.75" thickBot="1" x14ac:dyDescent="0.2">
      <c r="A275" s="35" t="str">
        <f>IF(G275&lt;&gt;"",1+MAX($A$6:A274),"")</f>
        <v/>
      </c>
      <c r="B275" s="104"/>
      <c r="C275" s="42"/>
      <c r="D275" s="43"/>
      <c r="E275" s="240" t="s">
        <v>421</v>
      </c>
      <c r="F275" s="241"/>
      <c r="G275" s="242"/>
      <c r="H275" s="44"/>
      <c r="I275" s="45"/>
      <c r="J275" s="214"/>
      <c r="K275" s="214"/>
      <c r="L275" s="214"/>
      <c r="M275" s="214"/>
      <c r="N275" s="215"/>
      <c r="O275" s="216"/>
    </row>
    <row r="276" spans="1:17" x14ac:dyDescent="0.15">
      <c r="A276" s="35">
        <f>IF(G276&lt;&gt;"",1+MAX($A$6:A275),"")</f>
        <v>207</v>
      </c>
      <c r="B276" s="104" t="s">
        <v>438</v>
      </c>
      <c r="C276" s="15"/>
      <c r="D276" s="14"/>
      <c r="E276" s="190" t="s">
        <v>413</v>
      </c>
      <c r="F276" s="191" t="s">
        <v>31</v>
      </c>
      <c r="G276" s="191">
        <v>21</v>
      </c>
      <c r="H276" s="8">
        <v>7.0000000000000007E-2</v>
      </c>
      <c r="I276" s="18">
        <f t="shared" si="106"/>
        <v>22.470000000000002</v>
      </c>
      <c r="J276" s="194">
        <f>20.5*3.7</f>
        <v>75.850000000000009</v>
      </c>
      <c r="K276" s="194">
        <f>20.5*1.8</f>
        <v>36.9</v>
      </c>
      <c r="L276" s="219">
        <f>J276*I276</f>
        <v>1704.3495000000003</v>
      </c>
      <c r="M276" s="219">
        <f>K276*I276</f>
        <v>829.14300000000003</v>
      </c>
      <c r="N276" s="20">
        <f t="shared" si="107"/>
        <v>2533.4925000000003</v>
      </c>
      <c r="O276" s="216"/>
    </row>
    <row r="277" spans="1:17" x14ac:dyDescent="0.15">
      <c r="A277" s="35">
        <f>IF(G277&lt;&gt;"",1+MAX($A$6:A276),"")</f>
        <v>208</v>
      </c>
      <c r="B277" s="104" t="s">
        <v>438</v>
      </c>
      <c r="C277" s="15"/>
      <c r="D277" s="14"/>
      <c r="E277" s="190" t="s">
        <v>414</v>
      </c>
      <c r="F277" s="191" t="s">
        <v>31</v>
      </c>
      <c r="G277" s="191">
        <v>9</v>
      </c>
      <c r="H277" s="50">
        <v>7.0000000000000007E-2</v>
      </c>
      <c r="I277" s="53">
        <f t="shared" si="106"/>
        <v>9.6300000000000008</v>
      </c>
      <c r="J277" s="194">
        <f>4.3*26</f>
        <v>111.8</v>
      </c>
      <c r="K277" s="194">
        <f>2*26</f>
        <v>52</v>
      </c>
      <c r="L277" s="219">
        <f>J277*I277</f>
        <v>1076.634</v>
      </c>
      <c r="M277" s="219">
        <f>K277*I277</f>
        <v>500.76000000000005</v>
      </c>
      <c r="N277" s="20">
        <f t="shared" si="107"/>
        <v>1577.394</v>
      </c>
      <c r="O277" s="216"/>
    </row>
    <row r="278" spans="1:17" x14ac:dyDescent="0.15">
      <c r="A278" s="35">
        <f>IF(G278&lt;&gt;"",1+MAX($A$6:A277),"")</f>
        <v>209</v>
      </c>
      <c r="B278" s="104" t="s">
        <v>438</v>
      </c>
      <c r="C278" s="15"/>
      <c r="D278" s="14"/>
      <c r="E278" s="190" t="s">
        <v>415</v>
      </c>
      <c r="F278" s="191" t="s">
        <v>31</v>
      </c>
      <c r="G278" s="191">
        <v>32</v>
      </c>
      <c r="H278" s="50">
        <v>7.0000000000000007E-2</v>
      </c>
      <c r="I278" s="18">
        <f t="shared" si="106"/>
        <v>34.24</v>
      </c>
      <c r="J278" s="194">
        <f>4.3*51</f>
        <v>219.29999999999998</v>
      </c>
      <c r="K278" s="194">
        <f>2*51</f>
        <v>102</v>
      </c>
      <c r="L278" s="219">
        <f>J278*I278</f>
        <v>7508.8319999999994</v>
      </c>
      <c r="M278" s="219">
        <f>K278*I278</f>
        <v>3492.48</v>
      </c>
      <c r="N278" s="20">
        <f t="shared" si="107"/>
        <v>11001.312</v>
      </c>
      <c r="O278" s="216"/>
    </row>
    <row r="279" spans="1:17" x14ac:dyDescent="0.15">
      <c r="A279" s="35">
        <f>IF(G279&lt;&gt;"",1+MAX($A$6:A278),"")</f>
        <v>210</v>
      </c>
      <c r="B279" s="104" t="s">
        <v>438</v>
      </c>
      <c r="C279" s="15"/>
      <c r="D279" s="14"/>
      <c r="E279" s="190" t="s">
        <v>416</v>
      </c>
      <c r="F279" s="191" t="s">
        <v>31</v>
      </c>
      <c r="G279" s="191">
        <v>45</v>
      </c>
      <c r="H279" s="8">
        <v>7.0000000000000007E-2</v>
      </c>
      <c r="I279" s="18">
        <f t="shared" si="97"/>
        <v>48.150000000000006</v>
      </c>
      <c r="J279" s="194">
        <f>4.3*49</f>
        <v>210.7</v>
      </c>
      <c r="K279" s="194">
        <f>2*49</f>
        <v>98</v>
      </c>
      <c r="L279" s="219">
        <f>J279*I279</f>
        <v>10145.205</v>
      </c>
      <c r="M279" s="219">
        <f>K279*I279</f>
        <v>4718.7000000000007</v>
      </c>
      <c r="N279" s="20">
        <f t="shared" si="98"/>
        <v>14863.905000000001</v>
      </c>
      <c r="O279" s="216"/>
    </row>
    <row r="280" spans="1:17" ht="15.75" thickBot="1" x14ac:dyDescent="0.2">
      <c r="A280" s="35">
        <f>IF(G280&lt;&gt;"",1+MAX($A$6:A279),"")</f>
        <v>211</v>
      </c>
      <c r="B280" s="104" t="s">
        <v>438</v>
      </c>
      <c r="C280" s="15"/>
      <c r="D280" s="57"/>
      <c r="E280" s="190" t="s">
        <v>417</v>
      </c>
      <c r="F280" s="191" t="s">
        <v>31</v>
      </c>
      <c r="G280" s="191">
        <v>41</v>
      </c>
      <c r="H280" s="8">
        <v>7.0000000000000007E-2</v>
      </c>
      <c r="I280" s="18">
        <f t="shared" si="97"/>
        <v>43.870000000000005</v>
      </c>
      <c r="J280" s="194">
        <f>4.3*47</f>
        <v>202.1</v>
      </c>
      <c r="K280" s="194">
        <f>2*47</f>
        <v>94</v>
      </c>
      <c r="L280" s="219">
        <f>J280*I280</f>
        <v>8866.1270000000004</v>
      </c>
      <c r="M280" s="219">
        <f>K280*I280</f>
        <v>4123.7800000000007</v>
      </c>
      <c r="N280" s="20">
        <f t="shared" si="98"/>
        <v>12989.907000000001</v>
      </c>
      <c r="O280" s="216"/>
    </row>
    <row r="281" spans="1:17" ht="15.75" thickBot="1" x14ac:dyDescent="0.2">
      <c r="A281" s="35" t="str">
        <f>IF(G281&lt;&gt;"",1+MAX($A$6:A280),"")</f>
        <v/>
      </c>
      <c r="B281" s="104"/>
      <c r="C281" s="42"/>
      <c r="D281" s="43"/>
      <c r="E281" s="240" t="s">
        <v>430</v>
      </c>
      <c r="F281" s="241"/>
      <c r="G281" s="242"/>
      <c r="H281" s="44"/>
      <c r="I281" s="45"/>
      <c r="J281" s="214"/>
      <c r="K281" s="214"/>
      <c r="L281" s="214"/>
      <c r="M281" s="214"/>
      <c r="N281" s="215"/>
      <c r="O281" s="216"/>
    </row>
    <row r="282" spans="1:17" s="109" customFormat="1" ht="45" x14ac:dyDescent="0.2">
      <c r="A282" s="35">
        <f>IF(G282&lt;&gt;"",1+MAX($A$6:A281),"")</f>
        <v>212</v>
      </c>
      <c r="B282" s="104" t="s">
        <v>433</v>
      </c>
      <c r="C282" s="105"/>
      <c r="D282" s="192"/>
      <c r="E282" s="167" t="s">
        <v>431</v>
      </c>
      <c r="F282" s="166" t="s">
        <v>31</v>
      </c>
      <c r="G282" s="166">
        <v>8</v>
      </c>
      <c r="H282" s="121">
        <v>7.0000000000000007E-2</v>
      </c>
      <c r="I282" s="107">
        <f t="shared" ref="I282" si="108">G282*(1+H282)</f>
        <v>8.56</v>
      </c>
      <c r="J282" s="223">
        <f>16*200</f>
        <v>3200</v>
      </c>
      <c r="K282" s="223">
        <f>16*83</f>
        <v>1328</v>
      </c>
      <c r="L282" s="221">
        <f>J282*I282</f>
        <v>27392</v>
      </c>
      <c r="M282" s="221">
        <f>K282*I282</f>
        <v>11367.68</v>
      </c>
      <c r="N282" s="172">
        <f t="shared" ref="N282" si="109">L282+M282</f>
        <v>38759.68</v>
      </c>
      <c r="O282" s="222"/>
    </row>
    <row r="283" spans="1:17" ht="15.75" thickBot="1" x14ac:dyDescent="0.2">
      <c r="A283" s="35" t="str">
        <f>IF(G283&lt;&gt;"",1+MAX($A$6:A282),"")</f>
        <v/>
      </c>
      <c r="B283" s="104"/>
      <c r="C283" s="15"/>
      <c r="D283" s="61"/>
      <c r="E283" s="127"/>
      <c r="F283" s="99"/>
      <c r="G283" s="126"/>
      <c r="H283" s="8"/>
      <c r="I283" s="18"/>
      <c r="J283" s="219"/>
      <c r="K283" s="219"/>
      <c r="L283" s="219"/>
      <c r="M283" s="219"/>
      <c r="N283" s="20"/>
      <c r="O283" s="216"/>
    </row>
    <row r="284" spans="1:17" ht="15.75" thickBot="1" x14ac:dyDescent="0.2">
      <c r="A284" s="35" t="str">
        <f>IF(G284&lt;&gt;"",1+MAX($A$6:A283),"")</f>
        <v/>
      </c>
      <c r="B284" s="106"/>
      <c r="C284" s="14"/>
      <c r="D284" s="62"/>
      <c r="E284" s="63" t="s">
        <v>38</v>
      </c>
      <c r="F284" s="99"/>
      <c r="G284" s="56"/>
      <c r="H284" s="64"/>
      <c r="I284" s="18"/>
      <c r="J284" s="224"/>
      <c r="K284" s="224"/>
      <c r="L284" s="224"/>
      <c r="M284" s="224"/>
      <c r="N284" s="65"/>
      <c r="O284" s="66">
        <f>SUM(N179:N283)</f>
        <v>204332.84425000002</v>
      </c>
      <c r="P284" s="67"/>
    </row>
    <row r="285" spans="1:17" ht="15.75" thickBot="1" x14ac:dyDescent="0.2">
      <c r="A285" s="35" t="str">
        <f>IF(G285&lt;&gt;"",1+MAX($A$6:A284),"")</f>
        <v/>
      </c>
      <c r="B285" s="104"/>
      <c r="C285" s="15"/>
      <c r="D285" s="61"/>
      <c r="E285" s="47"/>
      <c r="F285" s="99"/>
      <c r="G285" s="13"/>
      <c r="H285" s="8"/>
      <c r="I285" s="18"/>
      <c r="J285" s="220"/>
      <c r="K285" s="220"/>
      <c r="L285" s="220"/>
      <c r="M285" s="220"/>
      <c r="N285" s="20"/>
      <c r="O285" s="216"/>
    </row>
    <row r="286" spans="1:17" s="41" customFormat="1" ht="15.75" thickBot="1" x14ac:dyDescent="0.2">
      <c r="A286" s="35" t="str">
        <f>IF(G286&lt;&gt;"",1+MAX($A$6:A285),"")</f>
        <v/>
      </c>
      <c r="B286" s="112"/>
      <c r="C286" s="36"/>
      <c r="D286" s="37" t="s">
        <v>43</v>
      </c>
      <c r="E286" s="38" t="s">
        <v>44</v>
      </c>
      <c r="F286" s="40"/>
      <c r="G286" s="39"/>
      <c r="H286" s="40"/>
      <c r="I286" s="40"/>
      <c r="J286" s="225"/>
      <c r="K286" s="225"/>
      <c r="L286" s="225"/>
      <c r="M286" s="225"/>
      <c r="N286" s="226"/>
      <c r="O286" s="213"/>
      <c r="P286" s="125"/>
    </row>
    <row r="287" spans="1:17" ht="15.75" thickBot="1" x14ac:dyDescent="0.2">
      <c r="A287" s="35" t="str">
        <f>IF(G287&lt;&gt;"",1+MAX($A$6:A286),"")</f>
        <v/>
      </c>
      <c r="B287" s="104"/>
      <c r="C287" s="42"/>
      <c r="D287" s="43"/>
      <c r="E287" s="240" t="s">
        <v>45</v>
      </c>
      <c r="F287" s="241"/>
      <c r="G287" s="242"/>
      <c r="H287" s="44"/>
      <c r="I287" s="45"/>
      <c r="J287" s="214"/>
      <c r="K287" s="214"/>
      <c r="L287" s="214"/>
      <c r="M287" s="214"/>
      <c r="N287" s="215"/>
      <c r="O287" s="216"/>
    </row>
    <row r="288" spans="1:17" x14ac:dyDescent="0.15">
      <c r="A288" s="35" t="str">
        <f>IF(G288&lt;&gt;"",1+MAX($A$6:A287),"")</f>
        <v/>
      </c>
      <c r="B288" s="104" t="s">
        <v>439</v>
      </c>
      <c r="C288" s="15"/>
      <c r="D288" s="57"/>
      <c r="E288" s="184" t="s">
        <v>182</v>
      </c>
      <c r="F288" s="166"/>
      <c r="G288" s="166"/>
      <c r="H288" s="185"/>
      <c r="I288" s="131"/>
      <c r="J288" s="219"/>
      <c r="K288" s="219"/>
      <c r="L288" s="219"/>
      <c r="M288" s="219"/>
      <c r="N288" s="132"/>
      <c r="O288" s="216"/>
    </row>
    <row r="289" spans="1:17" x14ac:dyDescent="0.15">
      <c r="A289" s="35">
        <f>IF(G289&lt;&gt;"",1+MAX($A$6:A288),"")</f>
        <v>213</v>
      </c>
      <c r="B289" s="104"/>
      <c r="C289" s="15"/>
      <c r="D289" s="14"/>
      <c r="E289" s="167" t="s">
        <v>183</v>
      </c>
      <c r="F289" s="126" t="s">
        <v>12</v>
      </c>
      <c r="G289" s="126">
        <v>1163.03</v>
      </c>
      <c r="H289" s="8">
        <v>7.0000000000000007E-2</v>
      </c>
      <c r="I289" s="18">
        <f t="shared" ref="I289:I340" si="110">G289*(1+H289)</f>
        <v>1244.4421</v>
      </c>
      <c r="J289" s="194">
        <v>1.7</v>
      </c>
      <c r="K289" s="194">
        <v>3.9</v>
      </c>
      <c r="L289" s="219">
        <f>J289*I289</f>
        <v>2115.5515700000001</v>
      </c>
      <c r="M289" s="219">
        <f>K289*I289</f>
        <v>4853.3241900000003</v>
      </c>
      <c r="N289" s="20">
        <f t="shared" ref="N289:N340" si="111">L289+M289</f>
        <v>6968.8757600000008</v>
      </c>
      <c r="O289" s="216"/>
    </row>
    <row r="290" spans="1:17" x14ac:dyDescent="0.15">
      <c r="A290" s="35">
        <f>IF(G290&lt;&gt;"",1+MAX($A$6:A289),"")</f>
        <v>214</v>
      </c>
      <c r="B290" s="104"/>
      <c r="C290" s="15"/>
      <c r="D290" s="14"/>
      <c r="E290" s="167" t="s">
        <v>184</v>
      </c>
      <c r="F290" s="126" t="s">
        <v>12</v>
      </c>
      <c r="G290" s="126">
        <v>1163.03</v>
      </c>
      <c r="H290" s="8">
        <v>7.0000000000000007E-2</v>
      </c>
      <c r="I290" s="18">
        <f t="shared" si="110"/>
        <v>1244.4421</v>
      </c>
      <c r="J290" s="194">
        <v>1.3</v>
      </c>
      <c r="K290" s="194">
        <v>2.2999999999999998</v>
      </c>
      <c r="L290" s="219">
        <f>J290*I290</f>
        <v>1617.7747300000001</v>
      </c>
      <c r="M290" s="219">
        <f>K290*I290</f>
        <v>2862.2168299999998</v>
      </c>
      <c r="N290" s="20">
        <f t="shared" si="111"/>
        <v>4479.9915600000004</v>
      </c>
      <c r="O290" s="216"/>
    </row>
    <row r="291" spans="1:17" x14ac:dyDescent="0.15">
      <c r="A291" s="35">
        <f>IF(G291&lt;&gt;"",1+MAX($A$6:A290),"")</f>
        <v>215</v>
      </c>
      <c r="B291" s="104"/>
      <c r="C291" s="15"/>
      <c r="D291" s="14"/>
      <c r="E291" s="167" t="s">
        <v>185</v>
      </c>
      <c r="F291" s="126" t="s">
        <v>12</v>
      </c>
      <c r="G291" s="126">
        <v>1163.03</v>
      </c>
      <c r="H291" s="50">
        <v>7.0000000000000007E-2</v>
      </c>
      <c r="I291" s="53">
        <f t="shared" si="110"/>
        <v>1244.4421</v>
      </c>
      <c r="J291" s="194">
        <v>0.7</v>
      </c>
      <c r="K291" s="194">
        <v>1.6</v>
      </c>
      <c r="L291" s="219">
        <f>J291*I291</f>
        <v>871.10946999999999</v>
      </c>
      <c r="M291" s="219">
        <f>K291*I291</f>
        <v>1991.10736</v>
      </c>
      <c r="N291" s="20">
        <f t="shared" si="111"/>
        <v>2862.2168299999998</v>
      </c>
      <c r="O291" s="216"/>
    </row>
    <row r="292" spans="1:17" x14ac:dyDescent="0.15">
      <c r="A292" s="35">
        <f>IF(G292&lt;&gt;"",1+MAX($A$6:A291),"")</f>
        <v>216</v>
      </c>
      <c r="B292" s="104"/>
      <c r="C292" s="15"/>
      <c r="D292" s="14"/>
      <c r="E292" s="167" t="s">
        <v>186</v>
      </c>
      <c r="F292" s="126" t="s">
        <v>12</v>
      </c>
      <c r="G292" s="126">
        <v>1163.03</v>
      </c>
      <c r="H292" s="50">
        <v>7.0000000000000007E-2</v>
      </c>
      <c r="I292" s="18">
        <f t="shared" si="110"/>
        <v>1244.4421</v>
      </c>
      <c r="J292" s="194">
        <v>1.1000000000000001</v>
      </c>
      <c r="K292" s="194">
        <v>2.1</v>
      </c>
      <c r="L292" s="219">
        <f>J292*I292</f>
        <v>1368.8863100000001</v>
      </c>
      <c r="M292" s="219">
        <f>K292*I292</f>
        <v>2613.3284100000001</v>
      </c>
      <c r="N292" s="20">
        <f t="shared" si="111"/>
        <v>3982.2147199999999</v>
      </c>
      <c r="O292" s="216"/>
    </row>
    <row r="293" spans="1:17" x14ac:dyDescent="0.15">
      <c r="A293" s="35" t="str">
        <f>IF(G293&lt;&gt;"",1+MAX($A$6:A292),"")</f>
        <v/>
      </c>
      <c r="B293" s="104" t="s">
        <v>439</v>
      </c>
      <c r="C293" s="15"/>
      <c r="D293" s="14"/>
      <c r="E293" s="184" t="s">
        <v>187</v>
      </c>
      <c r="F293" s="126"/>
      <c r="G293" s="186"/>
      <c r="H293" s="185"/>
      <c r="I293" s="131"/>
      <c r="J293" s="219"/>
      <c r="K293" s="219"/>
      <c r="L293" s="219"/>
      <c r="M293" s="219"/>
      <c r="N293" s="132"/>
      <c r="O293" s="216"/>
    </row>
    <row r="294" spans="1:17" x14ac:dyDescent="0.15">
      <c r="A294" s="35">
        <f>IF(G294&lt;&gt;"",1+MAX($A$6:A293),"")</f>
        <v>217</v>
      </c>
      <c r="B294" s="104"/>
      <c r="C294" s="15"/>
      <c r="D294" s="57"/>
      <c r="E294" s="167" t="s">
        <v>188</v>
      </c>
      <c r="F294" s="126" t="s">
        <v>12</v>
      </c>
      <c r="G294" s="126">
        <v>557.21</v>
      </c>
      <c r="H294" s="8">
        <v>7.0000000000000007E-2</v>
      </c>
      <c r="I294" s="18">
        <f t="shared" si="110"/>
        <v>596.21470000000011</v>
      </c>
      <c r="J294" s="194">
        <v>2.2999999999999998</v>
      </c>
      <c r="K294" s="194">
        <v>4.2</v>
      </c>
      <c r="L294" s="219">
        <f>J294*I294</f>
        <v>1371.2938100000001</v>
      </c>
      <c r="M294" s="219">
        <f>K294*I294</f>
        <v>2504.1017400000005</v>
      </c>
      <c r="N294" s="20">
        <f t="shared" si="111"/>
        <v>3875.3955500000006</v>
      </c>
      <c r="O294" s="216"/>
    </row>
    <row r="295" spans="1:17" x14ac:dyDescent="0.15">
      <c r="A295" s="35">
        <f>IF(G295&lt;&gt;"",1+MAX($A$6:A294),"")</f>
        <v>218</v>
      </c>
      <c r="B295" s="104"/>
      <c r="C295" s="15"/>
      <c r="D295" s="14"/>
      <c r="E295" s="167" t="s">
        <v>189</v>
      </c>
      <c r="F295" s="126" t="s">
        <v>12</v>
      </c>
      <c r="G295" s="126">
        <v>557.21</v>
      </c>
      <c r="H295" s="8">
        <v>7.0000000000000007E-2</v>
      </c>
      <c r="I295" s="18">
        <f t="shared" si="110"/>
        <v>596.21470000000011</v>
      </c>
      <c r="J295" s="194">
        <v>1.5</v>
      </c>
      <c r="K295" s="194">
        <v>1.8</v>
      </c>
      <c r="L295" s="219">
        <f>J295*I295</f>
        <v>894.32205000000022</v>
      </c>
      <c r="M295" s="219">
        <f>K295*I295</f>
        <v>1073.1864600000001</v>
      </c>
      <c r="N295" s="20">
        <f t="shared" si="111"/>
        <v>1967.5085100000003</v>
      </c>
      <c r="O295" s="216"/>
    </row>
    <row r="296" spans="1:17" x14ac:dyDescent="0.15">
      <c r="A296" s="35">
        <f>IF(G296&lt;&gt;"",1+MAX($A$6:A295),"")</f>
        <v>219</v>
      </c>
      <c r="B296" s="104"/>
      <c r="C296" s="15"/>
      <c r="D296" s="14"/>
      <c r="E296" s="167" t="s">
        <v>190</v>
      </c>
      <c r="F296" s="126" t="s">
        <v>12</v>
      </c>
      <c r="G296" s="126">
        <v>557.21</v>
      </c>
      <c r="H296" s="50">
        <v>7.0000000000000007E-2</v>
      </c>
      <c r="I296" s="18">
        <f t="shared" si="110"/>
        <v>596.21470000000011</v>
      </c>
      <c r="J296" s="194">
        <v>1.2</v>
      </c>
      <c r="K296" s="194">
        <v>1.9</v>
      </c>
      <c r="L296" s="219">
        <f>J296*I296</f>
        <v>715.45764000000008</v>
      </c>
      <c r="M296" s="219">
        <f>K296*I296</f>
        <v>1132.8079300000002</v>
      </c>
      <c r="N296" s="20">
        <f t="shared" si="111"/>
        <v>1848.2655700000003</v>
      </c>
      <c r="O296" s="216"/>
    </row>
    <row r="297" spans="1:17" x14ac:dyDescent="0.15">
      <c r="A297" s="35">
        <f>IF(G297&lt;&gt;"",1+MAX($A$6:A296),"")</f>
        <v>220</v>
      </c>
      <c r="B297" s="104"/>
      <c r="C297" s="15"/>
      <c r="D297" s="14"/>
      <c r="E297" s="167" t="s">
        <v>191</v>
      </c>
      <c r="F297" s="126" t="s">
        <v>12</v>
      </c>
      <c r="G297" s="126">
        <v>557.21</v>
      </c>
      <c r="H297" s="50">
        <v>7.0000000000000007E-2</v>
      </c>
      <c r="I297" s="18">
        <f t="shared" si="110"/>
        <v>596.21470000000011</v>
      </c>
      <c r="J297" s="194">
        <v>0.6</v>
      </c>
      <c r="K297" s="194">
        <v>1.4</v>
      </c>
      <c r="L297" s="219">
        <f>J297*I297</f>
        <v>357.72882000000004</v>
      </c>
      <c r="M297" s="219">
        <f>K297*I297</f>
        <v>834.70058000000006</v>
      </c>
      <c r="N297" s="20">
        <f t="shared" si="111"/>
        <v>1192.4294</v>
      </c>
      <c r="O297" s="216"/>
    </row>
    <row r="298" spans="1:17" x14ac:dyDescent="0.15">
      <c r="A298" s="35">
        <f>IF(G298&lt;&gt;"",1+MAX($A$6:A297),"")</f>
        <v>221</v>
      </c>
      <c r="B298" s="104"/>
      <c r="C298" s="15"/>
      <c r="D298" s="57"/>
      <c r="E298" s="167" t="s">
        <v>186</v>
      </c>
      <c r="F298" s="126" t="s">
        <v>12</v>
      </c>
      <c r="G298" s="126">
        <v>557.21</v>
      </c>
      <c r="H298" s="8">
        <v>7.0000000000000007E-2</v>
      </c>
      <c r="I298" s="18">
        <f t="shared" si="110"/>
        <v>596.21470000000011</v>
      </c>
      <c r="J298" s="194">
        <v>1.1000000000000001</v>
      </c>
      <c r="K298" s="194">
        <v>2.1</v>
      </c>
      <c r="L298" s="219">
        <f>J298*I298</f>
        <v>655.83617000000015</v>
      </c>
      <c r="M298" s="219">
        <f>K298*I298</f>
        <v>1252.0508700000003</v>
      </c>
      <c r="N298" s="20">
        <f t="shared" si="111"/>
        <v>1907.8870400000005</v>
      </c>
      <c r="O298" s="216"/>
    </row>
    <row r="299" spans="1:17" x14ac:dyDescent="0.15">
      <c r="A299" s="35" t="str">
        <f>IF(G299&lt;&gt;"",1+MAX($A$6:A298),"")</f>
        <v/>
      </c>
      <c r="B299" s="104" t="s">
        <v>439</v>
      </c>
      <c r="C299" s="15"/>
      <c r="D299" s="14"/>
      <c r="E299" s="184" t="s">
        <v>192</v>
      </c>
      <c r="F299" s="126"/>
      <c r="G299" s="186"/>
      <c r="H299" s="185"/>
      <c r="I299" s="131"/>
      <c r="J299" s="219"/>
      <c r="K299" s="219"/>
      <c r="L299" s="219"/>
      <c r="M299" s="219"/>
      <c r="N299" s="132"/>
      <c r="O299" s="216"/>
    </row>
    <row r="300" spans="1:17" x14ac:dyDescent="0.15">
      <c r="A300" s="35">
        <f>IF(G300&lt;&gt;"",1+MAX($A$6:A299),"")</f>
        <v>222</v>
      </c>
      <c r="B300" s="104"/>
      <c r="C300" s="15"/>
      <c r="D300" s="14"/>
      <c r="E300" s="167" t="s">
        <v>183</v>
      </c>
      <c r="F300" s="126" t="s">
        <v>12</v>
      </c>
      <c r="G300" s="126">
        <v>11160.39</v>
      </c>
      <c r="H300" s="50">
        <v>7.0000000000000007E-2</v>
      </c>
      <c r="I300" s="18">
        <f t="shared" si="110"/>
        <v>11941.6173</v>
      </c>
      <c r="J300" s="194">
        <v>1.7</v>
      </c>
      <c r="K300" s="194">
        <v>3.9</v>
      </c>
      <c r="L300" s="219">
        <f>J300*I300</f>
        <v>20300.74941</v>
      </c>
      <c r="M300" s="219">
        <f>K300*I300</f>
        <v>46572.30747</v>
      </c>
      <c r="N300" s="20">
        <f t="shared" si="111"/>
        <v>66873.056880000004</v>
      </c>
      <c r="O300" s="216"/>
    </row>
    <row r="301" spans="1:17" x14ac:dyDescent="0.15">
      <c r="A301" s="35">
        <f>IF(G301&lt;&gt;"",1+MAX($A$6:A300),"")</f>
        <v>223</v>
      </c>
      <c r="B301" s="104"/>
      <c r="C301" s="15"/>
      <c r="D301" s="14"/>
      <c r="E301" s="167" t="s">
        <v>184</v>
      </c>
      <c r="F301" s="126" t="s">
        <v>12</v>
      </c>
      <c r="G301" s="126">
        <v>11160.39</v>
      </c>
      <c r="H301" s="50">
        <v>7.0000000000000007E-2</v>
      </c>
      <c r="I301" s="53">
        <f t="shared" si="110"/>
        <v>11941.6173</v>
      </c>
      <c r="J301" s="194">
        <v>1.3</v>
      </c>
      <c r="K301" s="194">
        <v>2.2999999999999998</v>
      </c>
      <c r="L301" s="219">
        <f>J301*I301</f>
        <v>15524.102490000001</v>
      </c>
      <c r="M301" s="219">
        <f>K301*I301</f>
        <v>27465.719789999999</v>
      </c>
      <c r="N301" s="20">
        <f t="shared" si="111"/>
        <v>42989.82228</v>
      </c>
      <c r="O301" s="216"/>
    </row>
    <row r="302" spans="1:17" x14ac:dyDescent="0.15">
      <c r="A302" s="35">
        <f>IF(G302&lt;&gt;"",1+MAX($A$6:A301),"")</f>
        <v>224</v>
      </c>
      <c r="B302" s="104"/>
      <c r="C302" s="15"/>
      <c r="D302" s="14"/>
      <c r="E302" s="167" t="s">
        <v>185</v>
      </c>
      <c r="F302" s="126" t="s">
        <v>12</v>
      </c>
      <c r="G302" s="126">
        <v>11160.39</v>
      </c>
      <c r="H302" s="8">
        <v>7.0000000000000007E-2</v>
      </c>
      <c r="I302" s="18">
        <f t="shared" si="110"/>
        <v>11941.6173</v>
      </c>
      <c r="J302" s="194">
        <v>0.7</v>
      </c>
      <c r="K302" s="194">
        <v>1.6</v>
      </c>
      <c r="L302" s="219">
        <f>J302*I302</f>
        <v>8359.1321099999986</v>
      </c>
      <c r="M302" s="219">
        <f>K302*I302</f>
        <v>19106.587680000001</v>
      </c>
      <c r="N302" s="20">
        <f t="shared" si="111"/>
        <v>27465.719789999999</v>
      </c>
      <c r="O302" s="216"/>
    </row>
    <row r="303" spans="1:17" x14ac:dyDescent="0.15">
      <c r="A303" s="35">
        <f>IF(G303&lt;&gt;"",1+MAX($A$6:A302),"")</f>
        <v>225</v>
      </c>
      <c r="B303" s="104"/>
      <c r="C303" s="15"/>
      <c r="D303" s="14"/>
      <c r="E303" s="167" t="s">
        <v>186</v>
      </c>
      <c r="F303" s="126" t="s">
        <v>12</v>
      </c>
      <c r="G303" s="126">
        <v>11160.39</v>
      </c>
      <c r="H303" s="8">
        <v>7.0000000000000007E-2</v>
      </c>
      <c r="I303" s="18">
        <f t="shared" si="110"/>
        <v>11941.6173</v>
      </c>
      <c r="J303" s="194">
        <v>1.1000000000000001</v>
      </c>
      <c r="K303" s="194">
        <v>2.1</v>
      </c>
      <c r="L303" s="219">
        <f>J303*I303</f>
        <v>13135.779030000002</v>
      </c>
      <c r="M303" s="219">
        <f>K303*I303</f>
        <v>25077.39633</v>
      </c>
      <c r="N303" s="20">
        <f t="shared" si="111"/>
        <v>38213.175360000001</v>
      </c>
      <c r="O303" s="216"/>
      <c r="Q303" s="52"/>
    </row>
    <row r="304" spans="1:17" x14ac:dyDescent="0.15">
      <c r="A304" s="35" t="str">
        <f>IF(G304&lt;&gt;"",1+MAX($A$6:A303),"")</f>
        <v/>
      </c>
      <c r="B304" s="104" t="s">
        <v>439</v>
      </c>
      <c r="C304" s="15"/>
      <c r="D304" s="14"/>
      <c r="E304" s="184" t="s">
        <v>193</v>
      </c>
      <c r="F304" s="126"/>
      <c r="G304" s="186"/>
      <c r="H304" s="185"/>
      <c r="I304" s="131"/>
      <c r="J304" s="219"/>
      <c r="K304" s="219"/>
      <c r="L304" s="219"/>
      <c r="M304" s="219"/>
      <c r="N304" s="132"/>
      <c r="O304" s="216"/>
    </row>
    <row r="305" spans="1:15" x14ac:dyDescent="0.15">
      <c r="A305" s="35">
        <f>IF(G305&lt;&gt;"",1+MAX($A$6:A304),"")</f>
        <v>226</v>
      </c>
      <c r="B305" s="104"/>
      <c r="C305" s="15"/>
      <c r="D305" s="14"/>
      <c r="E305" s="167" t="s">
        <v>194</v>
      </c>
      <c r="F305" s="126" t="s">
        <v>12</v>
      </c>
      <c r="G305" s="126">
        <v>1009.61</v>
      </c>
      <c r="H305" s="50">
        <v>7.0000000000000007E-2</v>
      </c>
      <c r="I305" s="53">
        <f t="shared" si="110"/>
        <v>1080.2827</v>
      </c>
      <c r="J305" s="194">
        <v>1.9</v>
      </c>
      <c r="K305" s="194">
        <v>3.9</v>
      </c>
      <c r="L305" s="219">
        <f>J305*I305</f>
        <v>2052.5371299999997</v>
      </c>
      <c r="M305" s="219">
        <f>K305*I305</f>
        <v>4213.1025300000001</v>
      </c>
      <c r="N305" s="20">
        <f t="shared" si="111"/>
        <v>6265.6396599999998</v>
      </c>
      <c r="O305" s="216"/>
    </row>
    <row r="306" spans="1:15" x14ac:dyDescent="0.15">
      <c r="A306" s="35">
        <f>IF(G306&lt;&gt;"",1+MAX($A$6:A305),"")</f>
        <v>227</v>
      </c>
      <c r="B306" s="104"/>
      <c r="C306" s="15"/>
      <c r="D306" s="14"/>
      <c r="E306" s="167" t="s">
        <v>184</v>
      </c>
      <c r="F306" s="126" t="s">
        <v>12</v>
      </c>
      <c r="G306" s="126">
        <v>1009.61</v>
      </c>
      <c r="H306" s="50">
        <v>7.0000000000000007E-2</v>
      </c>
      <c r="I306" s="18">
        <f t="shared" si="110"/>
        <v>1080.2827</v>
      </c>
      <c r="J306" s="194">
        <v>1.3</v>
      </c>
      <c r="K306" s="194">
        <v>2.2999999999999998</v>
      </c>
      <c r="L306" s="219">
        <f>J306*I306</f>
        <v>1404.36751</v>
      </c>
      <c r="M306" s="219">
        <f>K306*I306</f>
        <v>2484.6502099999998</v>
      </c>
      <c r="N306" s="20">
        <f t="shared" si="111"/>
        <v>3889.0177199999998</v>
      </c>
      <c r="O306" s="216"/>
    </row>
    <row r="307" spans="1:15" x14ac:dyDescent="0.15">
      <c r="A307" s="35">
        <f>IF(G307&lt;&gt;"",1+MAX($A$6:A306),"")</f>
        <v>228</v>
      </c>
      <c r="B307" s="104"/>
      <c r="C307" s="15"/>
      <c r="D307" s="14"/>
      <c r="E307" s="167" t="s">
        <v>195</v>
      </c>
      <c r="F307" s="126" t="s">
        <v>12</v>
      </c>
      <c r="G307" s="126">
        <v>1009.61</v>
      </c>
      <c r="H307" s="8">
        <v>7.0000000000000007E-2</v>
      </c>
      <c r="I307" s="18">
        <f t="shared" si="110"/>
        <v>1080.2827</v>
      </c>
      <c r="J307" s="194">
        <v>0.7</v>
      </c>
      <c r="K307" s="194">
        <v>1.6</v>
      </c>
      <c r="L307" s="219">
        <f>J307*I307</f>
        <v>756.19788999999992</v>
      </c>
      <c r="M307" s="219">
        <f>K307*I307</f>
        <v>1728.4523200000001</v>
      </c>
      <c r="N307" s="20">
        <f t="shared" si="111"/>
        <v>2484.6502099999998</v>
      </c>
      <c r="O307" s="216"/>
    </row>
    <row r="308" spans="1:15" ht="15.75" thickBot="1" x14ac:dyDescent="0.2">
      <c r="A308" s="35">
        <f>IF(G308&lt;&gt;"",1+MAX($A$6:A307),"")</f>
        <v>229</v>
      </c>
      <c r="B308" s="104"/>
      <c r="C308" s="15"/>
      <c r="D308" s="57"/>
      <c r="E308" s="167" t="s">
        <v>196</v>
      </c>
      <c r="F308" s="126" t="s">
        <v>12</v>
      </c>
      <c r="G308" s="126">
        <v>1009.61</v>
      </c>
      <c r="H308" s="8">
        <v>7.0000000000000007E-2</v>
      </c>
      <c r="I308" s="18">
        <f t="shared" si="110"/>
        <v>1080.2827</v>
      </c>
      <c r="J308" s="194">
        <v>1.1000000000000001</v>
      </c>
      <c r="K308" s="194">
        <v>2.1</v>
      </c>
      <c r="L308" s="219">
        <f>J308*I308</f>
        <v>1188.31097</v>
      </c>
      <c r="M308" s="219">
        <f>K308*I308</f>
        <v>2268.5936700000002</v>
      </c>
      <c r="N308" s="20">
        <f t="shared" si="111"/>
        <v>3456.9046400000002</v>
      </c>
      <c r="O308" s="216"/>
    </row>
    <row r="309" spans="1:15" ht="15.75" thickBot="1" x14ac:dyDescent="0.2">
      <c r="A309" s="35" t="str">
        <f>IF(G309&lt;&gt;"",1+MAX($A$6:A308),"")</f>
        <v/>
      </c>
      <c r="B309" s="104"/>
      <c r="C309" s="42"/>
      <c r="D309" s="43"/>
      <c r="E309" s="240" t="s">
        <v>220</v>
      </c>
      <c r="F309" s="241"/>
      <c r="G309" s="242"/>
      <c r="H309" s="44"/>
      <c r="I309" s="45"/>
      <c r="J309" s="214"/>
      <c r="K309" s="214"/>
      <c r="L309" s="214"/>
      <c r="M309" s="214"/>
      <c r="N309" s="215"/>
      <c r="O309" s="216"/>
    </row>
    <row r="310" spans="1:15" x14ac:dyDescent="0.15">
      <c r="A310" s="35" t="str">
        <f>IF(G310&lt;&gt;"",1+MAX($A$6:A309),"")</f>
        <v/>
      </c>
      <c r="B310" s="104" t="s">
        <v>440</v>
      </c>
      <c r="C310" s="15"/>
      <c r="D310" s="14"/>
      <c r="E310" s="184" t="s">
        <v>197</v>
      </c>
      <c r="F310" s="126"/>
      <c r="G310" s="126"/>
      <c r="H310" s="185"/>
      <c r="I310" s="131"/>
      <c r="J310" s="219"/>
      <c r="K310" s="219"/>
      <c r="L310" s="219"/>
      <c r="M310" s="219"/>
      <c r="N310" s="132"/>
      <c r="O310" s="216"/>
    </row>
    <row r="311" spans="1:15" x14ac:dyDescent="0.15">
      <c r="A311" s="35">
        <f>IF(G311&lt;&gt;"",1+MAX($A$6:A310),"")</f>
        <v>230</v>
      </c>
      <c r="B311" s="104"/>
      <c r="C311" s="15"/>
      <c r="D311" s="14"/>
      <c r="E311" s="167" t="s">
        <v>198</v>
      </c>
      <c r="F311" s="126" t="s">
        <v>12</v>
      </c>
      <c r="G311" s="126">
        <v>14619.71</v>
      </c>
      <c r="H311" s="50">
        <v>7.0000000000000007E-2</v>
      </c>
      <c r="I311" s="18">
        <f t="shared" si="110"/>
        <v>15643.0897</v>
      </c>
      <c r="J311" s="194">
        <v>1.1000000000000001</v>
      </c>
      <c r="K311" s="194">
        <v>2.1</v>
      </c>
      <c r="L311" s="219">
        <f>J311*I311</f>
        <v>17207.398670000002</v>
      </c>
      <c r="M311" s="219">
        <f>K311*I311</f>
        <v>32850.488369999999</v>
      </c>
      <c r="N311" s="20">
        <f t="shared" si="111"/>
        <v>50057.887040000001</v>
      </c>
      <c r="O311" s="216"/>
    </row>
    <row r="312" spans="1:15" x14ac:dyDescent="0.15">
      <c r="A312" s="35">
        <f>IF(G312&lt;&gt;"",1+MAX($A$6:A311),"")</f>
        <v>231</v>
      </c>
      <c r="B312" s="104"/>
      <c r="C312" s="15"/>
      <c r="D312" s="14"/>
      <c r="E312" s="167" t="s">
        <v>199</v>
      </c>
      <c r="F312" s="126" t="s">
        <v>12</v>
      </c>
      <c r="G312" s="126">
        <v>14619.71</v>
      </c>
      <c r="H312" s="50">
        <v>7.0000000000000007E-2</v>
      </c>
      <c r="I312" s="18">
        <f t="shared" si="110"/>
        <v>15643.0897</v>
      </c>
      <c r="J312" s="194">
        <v>1.3</v>
      </c>
      <c r="K312" s="194">
        <v>2</v>
      </c>
      <c r="L312" s="219">
        <f>J312*I312</f>
        <v>20336.016610000002</v>
      </c>
      <c r="M312" s="219">
        <f>K312*I312</f>
        <v>31286.179400000001</v>
      </c>
      <c r="N312" s="20">
        <f t="shared" si="111"/>
        <v>51622.19601</v>
      </c>
      <c r="O312" s="216"/>
    </row>
    <row r="313" spans="1:15" x14ac:dyDescent="0.15">
      <c r="A313" s="35">
        <f>IF(G313&lt;&gt;"",1+MAX($A$6:A312),"")</f>
        <v>232</v>
      </c>
      <c r="B313" s="104"/>
      <c r="C313" s="15"/>
      <c r="D313" s="57"/>
      <c r="E313" s="167" t="s">
        <v>200</v>
      </c>
      <c r="F313" s="126" t="s">
        <v>12</v>
      </c>
      <c r="G313" s="126">
        <v>14619.71</v>
      </c>
      <c r="H313" s="8">
        <v>7.0000000000000007E-2</v>
      </c>
      <c r="I313" s="18">
        <f t="shared" si="110"/>
        <v>15643.0897</v>
      </c>
      <c r="J313" s="194">
        <v>2.2999999999999998</v>
      </c>
      <c r="K313" s="194">
        <v>3.2</v>
      </c>
      <c r="L313" s="219">
        <f>J313*I313</f>
        <v>35979.106309999996</v>
      </c>
      <c r="M313" s="219">
        <f>K313*I313</f>
        <v>50057.887040000001</v>
      </c>
      <c r="N313" s="20">
        <f t="shared" si="111"/>
        <v>86036.993350000004</v>
      </c>
      <c r="O313" s="216"/>
    </row>
    <row r="314" spans="1:15" x14ac:dyDescent="0.15">
      <c r="A314" s="35" t="str">
        <f>IF(G314&lt;&gt;"",1+MAX($A$6:A313),"")</f>
        <v/>
      </c>
      <c r="B314" s="104" t="s">
        <v>440</v>
      </c>
      <c r="C314" s="15"/>
      <c r="D314" s="14"/>
      <c r="E314" s="184" t="s">
        <v>201</v>
      </c>
      <c r="F314" s="126"/>
      <c r="G314" s="186"/>
      <c r="H314" s="187"/>
      <c r="I314" s="131"/>
      <c r="J314" s="219"/>
      <c r="K314" s="219"/>
      <c r="L314" s="219"/>
      <c r="M314" s="219"/>
      <c r="N314" s="132"/>
      <c r="O314" s="216"/>
    </row>
    <row r="315" spans="1:15" x14ac:dyDescent="0.15">
      <c r="A315" s="35">
        <f>IF(G315&lt;&gt;"",1+MAX($A$6:A314),"")</f>
        <v>233</v>
      </c>
      <c r="B315" s="104"/>
      <c r="C315" s="15"/>
      <c r="D315" s="14"/>
      <c r="E315" s="167" t="s">
        <v>202</v>
      </c>
      <c r="F315" s="126" t="s">
        <v>12</v>
      </c>
      <c r="G315" s="126">
        <v>2008.81</v>
      </c>
      <c r="H315" s="8">
        <v>7.0000000000000007E-2</v>
      </c>
      <c r="I315" s="18">
        <f t="shared" ref="I315:I338" si="112">G315*(1+H315)</f>
        <v>2149.4267</v>
      </c>
      <c r="J315" s="194">
        <v>3.8</v>
      </c>
      <c r="K315" s="194">
        <v>1.9</v>
      </c>
      <c r="L315" s="219">
        <f>J315*I315</f>
        <v>8167.8214599999992</v>
      </c>
      <c r="M315" s="219">
        <f>K315*I315</f>
        <v>4083.9107299999996</v>
      </c>
      <c r="N315" s="20">
        <f t="shared" ref="N315:N338" si="113">L315+M315</f>
        <v>12251.732189999999</v>
      </c>
      <c r="O315" s="216"/>
    </row>
    <row r="316" spans="1:15" x14ac:dyDescent="0.15">
      <c r="A316" s="35">
        <f>IF(G316&lt;&gt;"",1+MAX($A$6:A315),"")</f>
        <v>234</v>
      </c>
      <c r="B316" s="104"/>
      <c r="C316" s="15"/>
      <c r="D316" s="57"/>
      <c r="E316" s="167" t="s">
        <v>199</v>
      </c>
      <c r="F316" s="126" t="s">
        <v>12</v>
      </c>
      <c r="G316" s="126">
        <v>2008.81</v>
      </c>
      <c r="H316" s="8">
        <v>7.0000000000000007E-2</v>
      </c>
      <c r="I316" s="18">
        <f t="shared" si="112"/>
        <v>2149.4267</v>
      </c>
      <c r="J316" s="194">
        <v>1.3</v>
      </c>
      <c r="K316" s="194">
        <v>2</v>
      </c>
      <c r="L316" s="219">
        <f>J316*I316</f>
        <v>2794.2547100000002</v>
      </c>
      <c r="M316" s="219">
        <f>K316*I316</f>
        <v>4298.8534</v>
      </c>
      <c r="N316" s="20">
        <f t="shared" si="113"/>
        <v>7093.1081100000001</v>
      </c>
      <c r="O316" s="216"/>
    </row>
    <row r="317" spans="1:15" x14ac:dyDescent="0.15">
      <c r="A317" s="35">
        <f>IF(G317&lt;&gt;"",1+MAX($A$6:A316),"")</f>
        <v>235</v>
      </c>
      <c r="B317" s="104"/>
      <c r="C317" s="15"/>
      <c r="D317" s="14"/>
      <c r="E317" s="167" t="s">
        <v>200</v>
      </c>
      <c r="F317" s="126" t="s">
        <v>12</v>
      </c>
      <c r="G317" s="126">
        <v>2008.81</v>
      </c>
      <c r="H317" s="8">
        <v>7.0000000000000007E-2</v>
      </c>
      <c r="I317" s="18">
        <f t="shared" si="112"/>
        <v>2149.4267</v>
      </c>
      <c r="J317" s="194">
        <v>2.2999999999999998</v>
      </c>
      <c r="K317" s="194">
        <v>3.2</v>
      </c>
      <c r="L317" s="219">
        <f>J317*I317</f>
        <v>4943.6814099999992</v>
      </c>
      <c r="M317" s="219">
        <f>K317*I317</f>
        <v>6878.1654400000007</v>
      </c>
      <c r="N317" s="20">
        <f t="shared" si="113"/>
        <v>11821.84685</v>
      </c>
      <c r="O317" s="216"/>
    </row>
    <row r="318" spans="1:15" ht="15.75" thickBot="1" x14ac:dyDescent="0.2">
      <c r="A318" s="35">
        <f>IF(G318&lt;&gt;"",1+MAX($A$6:A317),"")</f>
        <v>236</v>
      </c>
      <c r="B318" s="104"/>
      <c r="C318" s="15"/>
      <c r="D318" s="14"/>
      <c r="E318" s="167" t="s">
        <v>203</v>
      </c>
      <c r="F318" s="126" t="s">
        <v>12</v>
      </c>
      <c r="G318" s="126">
        <v>618.87</v>
      </c>
      <c r="H318" s="50">
        <v>7.0000000000000007E-2</v>
      </c>
      <c r="I318" s="18">
        <f t="shared" si="112"/>
        <v>662.19090000000006</v>
      </c>
      <c r="J318" s="194">
        <v>4.7</v>
      </c>
      <c r="K318" s="194">
        <v>2.1</v>
      </c>
      <c r="L318" s="219">
        <f>J318*I318</f>
        <v>3112.2972300000006</v>
      </c>
      <c r="M318" s="219">
        <f>K318*I318</f>
        <v>1390.6008900000002</v>
      </c>
      <c r="N318" s="20">
        <f t="shared" si="113"/>
        <v>4502.8981200000007</v>
      </c>
      <c r="O318" s="216"/>
    </row>
    <row r="319" spans="1:15" ht="15.75" thickBot="1" x14ac:dyDescent="0.2">
      <c r="A319" s="35" t="str">
        <f>IF(G319&lt;&gt;"",1+MAX($A$6:A318),"")</f>
        <v/>
      </c>
      <c r="B319" s="104"/>
      <c r="C319" s="42"/>
      <c r="D319" s="43"/>
      <c r="E319" s="240" t="s">
        <v>221</v>
      </c>
      <c r="F319" s="241"/>
      <c r="G319" s="242"/>
      <c r="H319" s="44"/>
      <c r="I319" s="45"/>
      <c r="J319" s="214"/>
      <c r="K319" s="214"/>
      <c r="L319" s="214"/>
      <c r="M319" s="214"/>
      <c r="N319" s="215"/>
      <c r="O319" s="216"/>
    </row>
    <row r="320" spans="1:15" ht="30" x14ac:dyDescent="0.2">
      <c r="A320" s="35">
        <f>IF(G320&lt;&gt;"",1+MAX($A$6:A319),"")</f>
        <v>237</v>
      </c>
      <c r="B320" s="104" t="s">
        <v>440</v>
      </c>
      <c r="C320" s="15"/>
      <c r="D320" s="14"/>
      <c r="E320" s="167" t="s">
        <v>204</v>
      </c>
      <c r="F320" s="126" t="s">
        <v>12</v>
      </c>
      <c r="G320" s="126">
        <v>10830.87</v>
      </c>
      <c r="H320" s="50">
        <v>7.0000000000000007E-2</v>
      </c>
      <c r="I320" s="18">
        <f t="shared" si="112"/>
        <v>11589.030900000002</v>
      </c>
      <c r="J320" s="194">
        <v>1.2</v>
      </c>
      <c r="K320" s="194">
        <v>2.1</v>
      </c>
      <c r="L320" s="219">
        <f>J320*I320</f>
        <v>13906.837080000001</v>
      </c>
      <c r="M320" s="219">
        <f>K320*I320</f>
        <v>24336.964890000003</v>
      </c>
      <c r="N320" s="20">
        <f t="shared" si="113"/>
        <v>38243.80197</v>
      </c>
      <c r="O320" s="216"/>
    </row>
    <row r="321" spans="1:17" ht="15.75" thickBot="1" x14ac:dyDescent="0.2">
      <c r="A321" s="35">
        <f>IF(G321&lt;&gt;"",1+MAX($A$6:A320),"")</f>
        <v>238</v>
      </c>
      <c r="B321" s="104" t="s">
        <v>440</v>
      </c>
      <c r="C321" s="15"/>
      <c r="D321" s="57"/>
      <c r="E321" s="167" t="s">
        <v>205</v>
      </c>
      <c r="F321" s="126" t="s">
        <v>12</v>
      </c>
      <c r="G321" s="126">
        <v>11653.85</v>
      </c>
      <c r="H321" s="8">
        <v>7.0000000000000007E-2</v>
      </c>
      <c r="I321" s="18">
        <f t="shared" si="112"/>
        <v>12469.619500000001</v>
      </c>
      <c r="J321" s="194">
        <v>1.4</v>
      </c>
      <c r="K321" s="194">
        <v>2.2999999999999998</v>
      </c>
      <c r="L321" s="219">
        <f>J321*I321</f>
        <v>17457.4673</v>
      </c>
      <c r="M321" s="219">
        <f>K321*I321</f>
        <v>28680.12485</v>
      </c>
      <c r="N321" s="20">
        <f t="shared" si="113"/>
        <v>46137.592149999997</v>
      </c>
      <c r="O321" s="216"/>
    </row>
    <row r="322" spans="1:17" ht="15.75" thickBot="1" x14ac:dyDescent="0.2">
      <c r="A322" s="35" t="str">
        <f>IF(G322&lt;&gt;"",1+MAX($A$6:A321),"")</f>
        <v/>
      </c>
      <c r="B322" s="104"/>
      <c r="C322" s="42"/>
      <c r="D322" s="43"/>
      <c r="E322" s="240" t="s">
        <v>222</v>
      </c>
      <c r="F322" s="241"/>
      <c r="G322" s="242"/>
      <c r="H322" s="44"/>
      <c r="I322" s="45"/>
      <c r="J322" s="214"/>
      <c r="K322" s="214"/>
      <c r="L322" s="214"/>
      <c r="M322" s="214"/>
      <c r="N322" s="215"/>
      <c r="O322" s="216"/>
    </row>
    <row r="323" spans="1:17" x14ac:dyDescent="0.15">
      <c r="A323" s="35">
        <f>IF(G323&lt;&gt;"",1+MAX($A$6:A322),"")</f>
        <v>239</v>
      </c>
      <c r="B323" s="104"/>
      <c r="C323" s="15"/>
      <c r="D323" s="14"/>
      <c r="E323" s="167" t="s">
        <v>206</v>
      </c>
      <c r="F323" s="126" t="s">
        <v>12</v>
      </c>
      <c r="G323" s="126">
        <v>5947.11</v>
      </c>
      <c r="H323" s="8">
        <v>7.0000000000000007E-2</v>
      </c>
      <c r="I323" s="18">
        <f t="shared" si="112"/>
        <v>6363.4076999999997</v>
      </c>
      <c r="J323" s="194">
        <v>1.7</v>
      </c>
      <c r="K323" s="194">
        <v>3.8</v>
      </c>
      <c r="L323" s="219">
        <f>J323*I323</f>
        <v>10817.793089999999</v>
      </c>
      <c r="M323" s="219">
        <f>K323*I323</f>
        <v>24180.949259999998</v>
      </c>
      <c r="N323" s="20">
        <f t="shared" si="113"/>
        <v>34998.74235</v>
      </c>
      <c r="O323" s="216"/>
    </row>
    <row r="324" spans="1:17" x14ac:dyDescent="0.15">
      <c r="A324" s="35">
        <f>IF(G324&lt;&gt;"",1+MAX($A$6:A323),"")</f>
        <v>240</v>
      </c>
      <c r="B324" s="104"/>
      <c r="C324" s="15"/>
      <c r="D324" s="14"/>
      <c r="E324" s="167" t="s">
        <v>207</v>
      </c>
      <c r="F324" s="126" t="s">
        <v>12</v>
      </c>
      <c r="G324" s="126">
        <v>5179.26</v>
      </c>
      <c r="H324" s="50">
        <v>7.0000000000000007E-2</v>
      </c>
      <c r="I324" s="18">
        <f t="shared" si="112"/>
        <v>5541.8082000000004</v>
      </c>
      <c r="J324" s="194">
        <v>4.2</v>
      </c>
      <c r="K324" s="194">
        <v>1.8</v>
      </c>
      <c r="L324" s="219">
        <f>J324*I324</f>
        <v>23275.594440000004</v>
      </c>
      <c r="M324" s="219">
        <f>K324*I324</f>
        <v>9975.2547600000016</v>
      </c>
      <c r="N324" s="20">
        <f t="shared" si="113"/>
        <v>33250.849200000004</v>
      </c>
      <c r="O324" s="216"/>
    </row>
    <row r="325" spans="1:17" x14ac:dyDescent="0.15">
      <c r="A325" s="35">
        <f>IF(G325&lt;&gt;"",1+MAX($A$6:A324),"")</f>
        <v>241</v>
      </c>
      <c r="B325" s="104"/>
      <c r="C325" s="15"/>
      <c r="D325" s="14"/>
      <c r="E325" s="167" t="s">
        <v>208</v>
      </c>
      <c r="F325" s="126" t="s">
        <v>91</v>
      </c>
      <c r="G325" s="126">
        <v>1055.04</v>
      </c>
      <c r="H325" s="50">
        <v>7.0000000000000007E-2</v>
      </c>
      <c r="I325" s="53">
        <f t="shared" si="112"/>
        <v>1128.8928000000001</v>
      </c>
      <c r="J325" s="194">
        <v>1.8</v>
      </c>
      <c r="K325" s="194">
        <v>1.1000000000000001</v>
      </c>
      <c r="L325" s="219">
        <f>J325*I325</f>
        <v>2032.0070400000002</v>
      </c>
      <c r="M325" s="219">
        <f>K325*I325</f>
        <v>1241.7820800000002</v>
      </c>
      <c r="N325" s="20">
        <f t="shared" si="113"/>
        <v>3273.7891200000004</v>
      </c>
      <c r="O325" s="216"/>
    </row>
    <row r="326" spans="1:17" ht="15.75" thickBot="1" x14ac:dyDescent="0.2">
      <c r="A326" s="35">
        <f>IF(G326&lt;&gt;"",1+MAX($A$6:A325),"")</f>
        <v>242</v>
      </c>
      <c r="B326" s="104"/>
      <c r="C326" s="15"/>
      <c r="D326" s="14"/>
      <c r="E326" s="167" t="s">
        <v>209</v>
      </c>
      <c r="F326" s="126" t="s">
        <v>91</v>
      </c>
      <c r="G326" s="126">
        <v>564.73</v>
      </c>
      <c r="H326" s="8">
        <v>7.0000000000000007E-2</v>
      </c>
      <c r="I326" s="18">
        <f t="shared" si="112"/>
        <v>604.26110000000006</v>
      </c>
      <c r="J326" s="194">
        <v>1.9</v>
      </c>
      <c r="K326" s="194">
        <v>1.2</v>
      </c>
      <c r="L326" s="219">
        <f>J326*I326</f>
        <v>1148.09609</v>
      </c>
      <c r="M326" s="219">
        <f>K326*I326</f>
        <v>725.11332000000004</v>
      </c>
      <c r="N326" s="20">
        <f t="shared" si="113"/>
        <v>1873.2094099999999</v>
      </c>
      <c r="O326" s="216"/>
    </row>
    <row r="327" spans="1:17" ht="15.75" thickBot="1" x14ac:dyDescent="0.2">
      <c r="A327" s="35" t="str">
        <f>IF(G327&lt;&gt;"",1+MAX($A$6:A326),"")</f>
        <v/>
      </c>
      <c r="B327" s="104"/>
      <c r="C327" s="42"/>
      <c r="D327" s="43"/>
      <c r="E327" s="240" t="s">
        <v>223</v>
      </c>
      <c r="F327" s="241"/>
      <c r="G327" s="242"/>
      <c r="H327" s="44"/>
      <c r="I327" s="45"/>
      <c r="J327" s="214"/>
      <c r="K327" s="214"/>
      <c r="L327" s="214"/>
      <c r="M327" s="214"/>
      <c r="N327" s="215"/>
      <c r="O327" s="216"/>
    </row>
    <row r="328" spans="1:17" ht="15.75" thickBot="1" x14ac:dyDescent="0.2">
      <c r="A328" s="35">
        <f>IF(G328&lt;&gt;"",1+MAX($A$6:A327),"")</f>
        <v>243</v>
      </c>
      <c r="B328" s="104" t="s">
        <v>439</v>
      </c>
      <c r="C328" s="15"/>
      <c r="D328" s="14"/>
      <c r="E328" s="167" t="s">
        <v>210</v>
      </c>
      <c r="F328" s="126" t="s">
        <v>91</v>
      </c>
      <c r="G328" s="126">
        <v>119.54</v>
      </c>
      <c r="H328" s="8">
        <v>7.0000000000000007E-2</v>
      </c>
      <c r="I328" s="18">
        <f t="shared" si="112"/>
        <v>127.90780000000001</v>
      </c>
      <c r="J328" s="194">
        <v>3.9</v>
      </c>
      <c r="K328" s="194">
        <v>1.7</v>
      </c>
      <c r="L328" s="219">
        <f>J328*I328</f>
        <v>498.84042000000005</v>
      </c>
      <c r="M328" s="219">
        <f>K328*I328</f>
        <v>217.44326000000001</v>
      </c>
      <c r="N328" s="20">
        <f t="shared" si="113"/>
        <v>716.28368</v>
      </c>
      <c r="O328" s="216"/>
      <c r="Q328" s="52"/>
    </row>
    <row r="329" spans="1:17" ht="15.75" thickBot="1" x14ac:dyDescent="0.2">
      <c r="A329" s="35" t="str">
        <f>IF(G329&lt;&gt;"",1+MAX($A$6:A328),"")</f>
        <v/>
      </c>
      <c r="B329" s="104"/>
      <c r="C329" s="42"/>
      <c r="D329" s="43"/>
      <c r="E329" s="240" t="s">
        <v>225</v>
      </c>
      <c r="F329" s="241"/>
      <c r="G329" s="242"/>
      <c r="H329" s="44"/>
      <c r="I329" s="45"/>
      <c r="J329" s="214"/>
      <c r="K329" s="214"/>
      <c r="L329" s="214"/>
      <c r="M329" s="214"/>
      <c r="N329" s="215"/>
      <c r="O329" s="216"/>
    </row>
    <row r="330" spans="1:17" x14ac:dyDescent="0.15">
      <c r="A330" s="35">
        <f>IF(G330&lt;&gt;"",1+MAX($A$6:A329),"")</f>
        <v>244</v>
      </c>
      <c r="B330" s="104" t="s">
        <v>439</v>
      </c>
      <c r="C330" s="15"/>
      <c r="D330" s="14"/>
      <c r="E330" s="167" t="s">
        <v>211</v>
      </c>
      <c r="F330" s="126" t="s">
        <v>31</v>
      </c>
      <c r="G330" s="126">
        <v>1</v>
      </c>
      <c r="H330" s="8">
        <v>7.0000000000000007E-2</v>
      </c>
      <c r="I330" s="18">
        <f t="shared" si="112"/>
        <v>1.07</v>
      </c>
      <c r="J330" s="194">
        <v>377</v>
      </c>
      <c r="K330" s="194">
        <v>55</v>
      </c>
      <c r="L330" s="219">
        <f>J330*I330</f>
        <v>403.39000000000004</v>
      </c>
      <c r="M330" s="219">
        <f>K330*I330</f>
        <v>58.85</v>
      </c>
      <c r="N330" s="20">
        <f t="shared" si="113"/>
        <v>462.24000000000007</v>
      </c>
      <c r="O330" s="216"/>
    </row>
    <row r="331" spans="1:17" ht="15.75" thickBot="1" x14ac:dyDescent="0.2">
      <c r="A331" s="35">
        <f>IF(G331&lt;&gt;"",1+MAX($A$6:A330),"")</f>
        <v>245</v>
      </c>
      <c r="B331" s="104" t="s">
        <v>439</v>
      </c>
      <c r="C331" s="15"/>
      <c r="D331" s="57"/>
      <c r="E331" s="167" t="s">
        <v>218</v>
      </c>
      <c r="F331" s="126" t="s">
        <v>91</v>
      </c>
      <c r="G331" s="126">
        <v>388.05</v>
      </c>
      <c r="H331" s="8">
        <v>7.0000000000000007E-2</v>
      </c>
      <c r="I331" s="18">
        <f t="shared" ref="I331" si="114">G331*(1+H331)</f>
        <v>415.21350000000001</v>
      </c>
      <c r="J331" s="194">
        <v>3.8</v>
      </c>
      <c r="K331" s="194">
        <v>3.4</v>
      </c>
      <c r="L331" s="219">
        <f>J331*I331</f>
        <v>1577.8113000000001</v>
      </c>
      <c r="M331" s="219">
        <f>K331*I331</f>
        <v>1411.7258999999999</v>
      </c>
      <c r="N331" s="20">
        <f t="shared" ref="N331" si="115">L331+M331</f>
        <v>2989.5371999999998</v>
      </c>
      <c r="O331" s="216"/>
    </row>
    <row r="332" spans="1:17" ht="15.75" thickBot="1" x14ac:dyDescent="0.2">
      <c r="A332" s="35" t="str">
        <f>IF(G332&lt;&gt;"",1+MAX($A$6:A331),"")</f>
        <v/>
      </c>
      <c r="B332" s="104"/>
      <c r="C332" s="42"/>
      <c r="D332" s="43"/>
      <c r="E332" s="240" t="s">
        <v>224</v>
      </c>
      <c r="F332" s="241"/>
      <c r="G332" s="242"/>
      <c r="H332" s="44"/>
      <c r="I332" s="45"/>
      <c r="J332" s="214"/>
      <c r="K332" s="214"/>
      <c r="L332" s="214"/>
      <c r="M332" s="214"/>
      <c r="N332" s="215"/>
      <c r="O332" s="216"/>
    </row>
    <row r="333" spans="1:17" x14ac:dyDescent="0.15">
      <c r="A333" s="35">
        <f>IF(G333&lt;&gt;"",1+MAX($A$6:A332),"")</f>
        <v>246</v>
      </c>
      <c r="B333" s="104" t="s">
        <v>439</v>
      </c>
      <c r="C333" s="15"/>
      <c r="D333" s="14"/>
      <c r="E333" s="167" t="s">
        <v>212</v>
      </c>
      <c r="F333" s="126" t="s">
        <v>91</v>
      </c>
      <c r="G333" s="126">
        <v>653.57000000000005</v>
      </c>
      <c r="H333" s="50">
        <v>7.0000000000000007E-2</v>
      </c>
      <c r="I333" s="18">
        <f t="shared" si="112"/>
        <v>699.31990000000008</v>
      </c>
      <c r="J333" s="194">
        <v>4.7</v>
      </c>
      <c r="K333" s="194">
        <v>4.2</v>
      </c>
      <c r="L333" s="219">
        <f t="shared" ref="L333:L338" si="116">J333*I333</f>
        <v>3286.8035300000006</v>
      </c>
      <c r="M333" s="219">
        <f t="shared" ref="M333:M338" si="117">K333*I333</f>
        <v>2937.1435800000004</v>
      </c>
      <c r="N333" s="20">
        <f t="shared" si="113"/>
        <v>6223.947110000001</v>
      </c>
      <c r="O333" s="216"/>
    </row>
    <row r="334" spans="1:17" x14ac:dyDescent="0.15">
      <c r="A334" s="35">
        <f>IF(G334&lt;&gt;"",1+MAX($A$6:A333),"")</f>
        <v>247</v>
      </c>
      <c r="B334" s="104" t="s">
        <v>439</v>
      </c>
      <c r="C334" s="15"/>
      <c r="D334" s="14"/>
      <c r="E334" s="167" t="s">
        <v>213</v>
      </c>
      <c r="F334" s="126" t="s">
        <v>91</v>
      </c>
      <c r="G334" s="126">
        <v>653.57000000000005</v>
      </c>
      <c r="H334" s="8">
        <v>7.0000000000000007E-2</v>
      </c>
      <c r="I334" s="18">
        <f t="shared" si="112"/>
        <v>699.31990000000008</v>
      </c>
      <c r="J334" s="194">
        <v>1.8</v>
      </c>
      <c r="K334" s="194">
        <v>3.2</v>
      </c>
      <c r="L334" s="219">
        <f t="shared" si="116"/>
        <v>1258.7758200000001</v>
      </c>
      <c r="M334" s="219">
        <f t="shared" si="117"/>
        <v>2237.8236800000004</v>
      </c>
      <c r="N334" s="20">
        <f t="shared" si="113"/>
        <v>3496.5995000000003</v>
      </c>
      <c r="O334" s="216"/>
    </row>
    <row r="335" spans="1:17" x14ac:dyDescent="0.15">
      <c r="A335" s="35">
        <f>IF(G335&lt;&gt;"",1+MAX($A$6:A334),"")</f>
        <v>248</v>
      </c>
      <c r="B335" s="104" t="s">
        <v>439</v>
      </c>
      <c r="C335" s="15"/>
      <c r="D335" s="57"/>
      <c r="E335" s="167" t="s">
        <v>214</v>
      </c>
      <c r="F335" s="126" t="s">
        <v>91</v>
      </c>
      <c r="G335" s="126">
        <v>653.57000000000005</v>
      </c>
      <c r="H335" s="8">
        <v>7.0000000000000007E-2</v>
      </c>
      <c r="I335" s="18">
        <f t="shared" si="112"/>
        <v>699.31990000000008</v>
      </c>
      <c r="J335" s="194">
        <v>1.7</v>
      </c>
      <c r="K335" s="194">
        <v>2.7</v>
      </c>
      <c r="L335" s="219">
        <f t="shared" si="116"/>
        <v>1188.84383</v>
      </c>
      <c r="M335" s="219">
        <f t="shared" si="117"/>
        <v>1888.1637300000002</v>
      </c>
      <c r="N335" s="20">
        <f t="shared" si="113"/>
        <v>3077.00756</v>
      </c>
      <c r="O335" s="216"/>
    </row>
    <row r="336" spans="1:17" x14ac:dyDescent="0.15">
      <c r="A336" s="35">
        <f>IF(G336&lt;&gt;"",1+MAX($A$6:A335),"")</f>
        <v>249</v>
      </c>
      <c r="B336" s="104" t="s">
        <v>439</v>
      </c>
      <c r="C336" s="15"/>
      <c r="D336" s="14"/>
      <c r="E336" s="167" t="s">
        <v>215</v>
      </c>
      <c r="F336" s="126" t="s">
        <v>91</v>
      </c>
      <c r="G336" s="126">
        <v>653.57000000000005</v>
      </c>
      <c r="H336" s="8">
        <v>7.0000000000000007E-2</v>
      </c>
      <c r="I336" s="18">
        <f t="shared" si="112"/>
        <v>699.31990000000008</v>
      </c>
      <c r="J336" s="194">
        <v>1.9</v>
      </c>
      <c r="K336" s="194">
        <v>3.2</v>
      </c>
      <c r="L336" s="219">
        <f t="shared" si="116"/>
        <v>1328.7078100000001</v>
      </c>
      <c r="M336" s="219">
        <f t="shared" si="117"/>
        <v>2237.8236800000004</v>
      </c>
      <c r="N336" s="20">
        <f t="shared" si="113"/>
        <v>3566.5314900000003</v>
      </c>
      <c r="O336" s="216"/>
    </row>
    <row r="337" spans="1:18" x14ac:dyDescent="0.15">
      <c r="A337" s="35">
        <f>IF(G337&lt;&gt;"",1+MAX($A$6:A336),"")</f>
        <v>250</v>
      </c>
      <c r="B337" s="104" t="s">
        <v>439</v>
      </c>
      <c r="C337" s="15"/>
      <c r="D337" s="14"/>
      <c r="E337" s="167" t="s">
        <v>216</v>
      </c>
      <c r="F337" s="126" t="s">
        <v>91</v>
      </c>
      <c r="G337" s="126">
        <v>653.57000000000005</v>
      </c>
      <c r="H337" s="50">
        <v>7.0000000000000007E-2</v>
      </c>
      <c r="I337" s="18">
        <f t="shared" si="112"/>
        <v>699.31990000000008</v>
      </c>
      <c r="J337" s="194">
        <v>2.1</v>
      </c>
      <c r="K337" s="194">
        <v>3.9</v>
      </c>
      <c r="L337" s="219">
        <f t="shared" si="116"/>
        <v>1468.5717900000002</v>
      </c>
      <c r="M337" s="219">
        <f t="shared" si="117"/>
        <v>2727.3476100000003</v>
      </c>
      <c r="N337" s="20">
        <f t="shared" si="113"/>
        <v>4195.9194000000007</v>
      </c>
      <c r="O337" s="216"/>
    </row>
    <row r="338" spans="1:18" ht="15.75" thickBot="1" x14ac:dyDescent="0.2">
      <c r="A338" s="35">
        <f>IF(G338&lt;&gt;"",1+MAX($A$6:A337),"")</f>
        <v>251</v>
      </c>
      <c r="B338" s="104" t="s">
        <v>439</v>
      </c>
      <c r="C338" s="15"/>
      <c r="D338" s="14"/>
      <c r="E338" s="167" t="s">
        <v>217</v>
      </c>
      <c r="F338" s="126" t="s">
        <v>91</v>
      </c>
      <c r="G338" s="126">
        <v>653.57000000000005</v>
      </c>
      <c r="H338" s="50">
        <v>7.0000000000000007E-2</v>
      </c>
      <c r="I338" s="18">
        <f t="shared" si="112"/>
        <v>699.31990000000008</v>
      </c>
      <c r="J338" s="194">
        <v>2.2999999999999998</v>
      </c>
      <c r="K338" s="194">
        <v>1.4</v>
      </c>
      <c r="L338" s="219">
        <f t="shared" si="116"/>
        <v>1608.43577</v>
      </c>
      <c r="M338" s="219">
        <f t="shared" si="117"/>
        <v>979.04786000000001</v>
      </c>
      <c r="N338" s="20">
        <f t="shared" si="113"/>
        <v>2587.4836300000002</v>
      </c>
      <c r="O338" s="216"/>
    </row>
    <row r="339" spans="1:18" ht="15.75" thickBot="1" x14ac:dyDescent="0.2">
      <c r="A339" s="35" t="str">
        <f>IF(G339&lt;&gt;"",1+MAX($A$6:A338),"")</f>
        <v/>
      </c>
      <c r="B339" s="104"/>
      <c r="C339" s="42"/>
      <c r="D339" s="43"/>
      <c r="E339" s="240" t="s">
        <v>226</v>
      </c>
      <c r="F339" s="241"/>
      <c r="G339" s="242"/>
      <c r="H339" s="44"/>
      <c r="I339" s="45"/>
      <c r="J339" s="214"/>
      <c r="K339" s="214"/>
      <c r="L339" s="214"/>
      <c r="M339" s="214"/>
      <c r="N339" s="215"/>
      <c r="O339" s="216"/>
    </row>
    <row r="340" spans="1:18" s="109" customFormat="1" ht="30" x14ac:dyDescent="0.2">
      <c r="A340" s="35">
        <f>IF(G340&lt;&gt;"",1+MAX($A$6:A339),"")</f>
        <v>252</v>
      </c>
      <c r="B340" s="104" t="s">
        <v>433</v>
      </c>
      <c r="C340" s="105"/>
      <c r="D340" s="106"/>
      <c r="E340" s="167" t="s">
        <v>219</v>
      </c>
      <c r="F340" s="126" t="s">
        <v>12</v>
      </c>
      <c r="G340" s="126">
        <f>9*286</f>
        <v>2574</v>
      </c>
      <c r="H340" s="121">
        <v>7.0000000000000007E-2</v>
      </c>
      <c r="I340" s="107">
        <f t="shared" si="110"/>
        <v>2754.1800000000003</v>
      </c>
      <c r="J340" s="223">
        <v>13.23</v>
      </c>
      <c r="K340" s="223">
        <v>18.78</v>
      </c>
      <c r="L340" s="221">
        <f>J340*I340</f>
        <v>36437.801400000004</v>
      </c>
      <c r="M340" s="221">
        <f>K340*I340</f>
        <v>51723.500400000012</v>
      </c>
      <c r="N340" s="172">
        <f t="shared" si="111"/>
        <v>88161.301800000016</v>
      </c>
      <c r="O340" s="222"/>
    </row>
    <row r="341" spans="1:18" ht="15.75" thickBot="1" x14ac:dyDescent="0.2">
      <c r="A341" s="35" t="str">
        <f>IF(G341&lt;&gt;"",1+MAX($A$6:A340),"")</f>
        <v/>
      </c>
      <c r="B341" s="104"/>
      <c r="C341" s="15"/>
      <c r="D341" s="14"/>
      <c r="E341" s="58"/>
      <c r="F341" s="99"/>
      <c r="G341" s="13"/>
      <c r="H341" s="17"/>
      <c r="I341" s="18"/>
      <c r="J341" s="220"/>
      <c r="K341" s="220"/>
      <c r="L341" s="220"/>
      <c r="M341" s="220"/>
      <c r="N341" s="20"/>
      <c r="O341" s="216"/>
    </row>
    <row r="342" spans="1:18" ht="15.75" thickBot="1" x14ac:dyDescent="0.2">
      <c r="A342" s="35" t="str">
        <f>IF(G342&lt;&gt;"",1+MAX($A$6:A341),"")</f>
        <v/>
      </c>
      <c r="B342" s="106"/>
      <c r="C342" s="14"/>
      <c r="D342" s="62"/>
      <c r="E342" s="63" t="s">
        <v>38</v>
      </c>
      <c r="F342" s="99"/>
      <c r="G342" s="56"/>
      <c r="H342" s="64"/>
      <c r="I342" s="18"/>
      <c r="J342" s="224"/>
      <c r="K342" s="224"/>
      <c r="L342" s="224"/>
      <c r="M342" s="224"/>
      <c r="N342" s="65"/>
      <c r="O342" s="66">
        <f>SUM(N288:N341)</f>
        <v>717364.26872000005</v>
      </c>
      <c r="P342" s="67"/>
    </row>
    <row r="343" spans="1:18" ht="15.75" thickBot="1" x14ac:dyDescent="0.2">
      <c r="A343" s="35" t="str">
        <f>IF(G343&lt;&gt;"",1+MAX($A$6:A342),"")</f>
        <v/>
      </c>
      <c r="B343" s="104"/>
      <c r="C343" s="15"/>
      <c r="D343" s="61"/>
      <c r="E343" s="47"/>
      <c r="F343" s="99"/>
      <c r="G343" s="13"/>
      <c r="H343" s="8"/>
      <c r="I343" s="18"/>
      <c r="J343" s="220"/>
      <c r="K343" s="220"/>
      <c r="L343" s="220"/>
      <c r="M343" s="220"/>
      <c r="N343" s="20"/>
      <c r="O343" s="216"/>
    </row>
    <row r="344" spans="1:18" s="41" customFormat="1" ht="15.75" thickBot="1" x14ac:dyDescent="0.2">
      <c r="A344" s="35" t="str">
        <f>IF(G344&lt;&gt;"",1+MAX($A$6:A343),"")</f>
        <v/>
      </c>
      <c r="B344" s="112"/>
      <c r="C344" s="36"/>
      <c r="D344" s="37" t="s">
        <v>46</v>
      </c>
      <c r="E344" s="38" t="s">
        <v>47</v>
      </c>
      <c r="F344" s="40"/>
      <c r="G344" s="39"/>
      <c r="H344" s="40"/>
      <c r="I344" s="40"/>
      <c r="J344" s="225"/>
      <c r="K344" s="225"/>
      <c r="L344" s="225"/>
      <c r="M344" s="225"/>
      <c r="N344" s="226"/>
      <c r="O344" s="213"/>
      <c r="P344" s="125"/>
    </row>
    <row r="345" spans="1:18" ht="15.75" thickBot="1" x14ac:dyDescent="0.2">
      <c r="A345" s="35" t="str">
        <f>IF(G345&lt;&gt;"",1+MAX($A$6:A344),"")</f>
        <v/>
      </c>
      <c r="B345" s="104"/>
      <c r="C345" s="42"/>
      <c r="D345" s="43"/>
      <c r="E345" s="240" t="s">
        <v>92</v>
      </c>
      <c r="F345" s="241"/>
      <c r="G345" s="242"/>
      <c r="H345" s="44"/>
      <c r="I345" s="45"/>
      <c r="J345" s="214"/>
      <c r="K345" s="214"/>
      <c r="L345" s="214"/>
      <c r="M345" s="214"/>
      <c r="N345" s="215"/>
      <c r="O345" s="216"/>
    </row>
    <row r="346" spans="1:18" ht="30" x14ac:dyDescent="0.2">
      <c r="A346" s="35">
        <f>IF(G346&lt;&gt;"",1+MAX($A$6:A345),"")</f>
        <v>253</v>
      </c>
      <c r="B346" s="104" t="s">
        <v>441</v>
      </c>
      <c r="C346" s="15"/>
      <c r="D346" s="57"/>
      <c r="E346" s="167" t="s">
        <v>227</v>
      </c>
      <c r="F346" s="126" t="s">
        <v>31</v>
      </c>
      <c r="G346" s="126">
        <v>1</v>
      </c>
      <c r="H346" s="8">
        <v>7.0000000000000007E-2</v>
      </c>
      <c r="I346" s="18">
        <f t="shared" ref="I346:I348" si="118">G346*(1+H346)</f>
        <v>1.07</v>
      </c>
      <c r="J346" s="194">
        <f>7.5*10*85</f>
        <v>6375</v>
      </c>
      <c r="K346" s="194">
        <v>90</v>
      </c>
      <c r="L346" s="219">
        <f t="shared" ref="L346:L363" si="119">J346*I346</f>
        <v>6821.25</v>
      </c>
      <c r="M346" s="219">
        <f t="shared" ref="M346:M363" si="120">K346*I346</f>
        <v>96.300000000000011</v>
      </c>
      <c r="N346" s="20">
        <f t="shared" ref="N346:N348" si="121">L346+M346</f>
        <v>6917.55</v>
      </c>
      <c r="O346" s="216"/>
    </row>
    <row r="347" spans="1:18" ht="30" x14ac:dyDescent="0.2">
      <c r="A347" s="35">
        <f>IF(G347&lt;&gt;"",1+MAX($A$6:A346),"")</f>
        <v>254</v>
      </c>
      <c r="B347" s="104" t="s">
        <v>441</v>
      </c>
      <c r="C347" s="15"/>
      <c r="D347" s="57"/>
      <c r="E347" s="167" t="s">
        <v>228</v>
      </c>
      <c r="F347" s="126" t="s">
        <v>31</v>
      </c>
      <c r="G347" s="126">
        <v>13</v>
      </c>
      <c r="H347" s="8">
        <v>7.0000000000000007E-2</v>
      </c>
      <c r="I347" s="18">
        <f t="shared" si="118"/>
        <v>13.91</v>
      </c>
      <c r="J347" s="194">
        <f>7.5*8*85</f>
        <v>5100</v>
      </c>
      <c r="K347" s="194">
        <v>90</v>
      </c>
      <c r="L347" s="219">
        <f t="shared" si="119"/>
        <v>70941</v>
      </c>
      <c r="M347" s="219">
        <f t="shared" si="120"/>
        <v>1251.9000000000001</v>
      </c>
      <c r="N347" s="20">
        <f t="shared" si="121"/>
        <v>72192.899999999994</v>
      </c>
      <c r="O347" s="216"/>
    </row>
    <row r="348" spans="1:18" ht="30" x14ac:dyDescent="0.2">
      <c r="A348" s="35">
        <f>IF(G348&lt;&gt;"",1+MAX($A$6:A347),"")</f>
        <v>255</v>
      </c>
      <c r="B348" s="104" t="s">
        <v>441</v>
      </c>
      <c r="C348" s="15"/>
      <c r="D348" s="14"/>
      <c r="E348" s="167" t="s">
        <v>229</v>
      </c>
      <c r="F348" s="126" t="s">
        <v>31</v>
      </c>
      <c r="G348" s="126">
        <v>15</v>
      </c>
      <c r="H348" s="8">
        <v>7.0000000000000007E-2</v>
      </c>
      <c r="I348" s="18">
        <f t="shared" si="118"/>
        <v>16.05</v>
      </c>
      <c r="J348" s="194">
        <f>7.5*6*85</f>
        <v>3825</v>
      </c>
      <c r="K348" s="194">
        <v>90</v>
      </c>
      <c r="L348" s="219">
        <f t="shared" si="119"/>
        <v>61391.25</v>
      </c>
      <c r="M348" s="219">
        <f t="shared" si="120"/>
        <v>1444.5</v>
      </c>
      <c r="N348" s="20">
        <f t="shared" si="121"/>
        <v>62835.75</v>
      </c>
      <c r="O348" s="216"/>
    </row>
    <row r="349" spans="1:18" s="109" customFormat="1" ht="30" x14ac:dyDescent="0.2">
      <c r="A349" s="35">
        <f>IF(G349&lt;&gt;"",1+MAX($A$6:A348),"")</f>
        <v>256</v>
      </c>
      <c r="B349" s="104" t="s">
        <v>441</v>
      </c>
      <c r="C349" s="105"/>
      <c r="D349" s="120"/>
      <c r="E349" s="167" t="s">
        <v>230</v>
      </c>
      <c r="F349" s="126" t="s">
        <v>31</v>
      </c>
      <c r="G349" s="126">
        <v>3</v>
      </c>
      <c r="H349" s="121">
        <v>7.0000000000000007E-2</v>
      </c>
      <c r="I349" s="107">
        <f t="shared" ref="I349:I352" si="122">G349*(1+H349)</f>
        <v>3.21</v>
      </c>
      <c r="J349" s="194">
        <f>7.5*5*85</f>
        <v>3187.5</v>
      </c>
      <c r="K349" s="194">
        <v>90</v>
      </c>
      <c r="L349" s="219">
        <f t="shared" si="119"/>
        <v>10231.875</v>
      </c>
      <c r="M349" s="219">
        <f t="shared" si="120"/>
        <v>288.89999999999998</v>
      </c>
      <c r="N349" s="20">
        <f>L349+M349</f>
        <v>10520.775</v>
      </c>
      <c r="O349" s="222"/>
      <c r="P349" s="122"/>
      <c r="Q349" s="122"/>
      <c r="R349" s="122"/>
    </row>
    <row r="350" spans="1:18" ht="30" x14ac:dyDescent="0.2">
      <c r="A350" s="35">
        <f>IF(G350&lt;&gt;"",1+MAX($A$6:A349),"")</f>
        <v>257</v>
      </c>
      <c r="B350" s="104" t="s">
        <v>441</v>
      </c>
      <c r="C350" s="105"/>
      <c r="D350" s="59"/>
      <c r="E350" s="167" t="s">
        <v>231</v>
      </c>
      <c r="F350" s="126" t="s">
        <v>31</v>
      </c>
      <c r="G350" s="126">
        <v>4</v>
      </c>
      <c r="H350" s="8">
        <v>7.0000000000000007E-2</v>
      </c>
      <c r="I350" s="18">
        <f t="shared" si="122"/>
        <v>4.28</v>
      </c>
      <c r="J350" s="194">
        <f>6*6*85</f>
        <v>3060</v>
      </c>
      <c r="K350" s="194">
        <v>90</v>
      </c>
      <c r="L350" s="219">
        <f t="shared" si="119"/>
        <v>13096.800000000001</v>
      </c>
      <c r="M350" s="219">
        <f t="shared" si="120"/>
        <v>385.20000000000005</v>
      </c>
      <c r="N350" s="20">
        <f t="shared" ref="N350:N352" si="123">L350+M350</f>
        <v>13482.000000000002</v>
      </c>
      <c r="O350" s="216"/>
    </row>
    <row r="351" spans="1:18" ht="30" x14ac:dyDescent="0.2">
      <c r="A351" s="35">
        <f>IF(G351&lt;&gt;"",1+MAX($A$6:A350),"")</f>
        <v>258</v>
      </c>
      <c r="B351" s="104" t="s">
        <v>441</v>
      </c>
      <c r="C351" s="15"/>
      <c r="D351" s="57"/>
      <c r="E351" s="167" t="s">
        <v>232</v>
      </c>
      <c r="F351" s="126" t="s">
        <v>31</v>
      </c>
      <c r="G351" s="126">
        <v>1</v>
      </c>
      <c r="H351" s="8">
        <v>7.0000000000000007E-2</v>
      </c>
      <c r="I351" s="18">
        <f t="shared" si="122"/>
        <v>1.07</v>
      </c>
      <c r="J351" s="194">
        <f>6*5*85</f>
        <v>2550</v>
      </c>
      <c r="K351" s="194">
        <v>90</v>
      </c>
      <c r="L351" s="219">
        <f t="shared" si="119"/>
        <v>2728.5</v>
      </c>
      <c r="M351" s="219">
        <f t="shared" si="120"/>
        <v>96.300000000000011</v>
      </c>
      <c r="N351" s="20">
        <f t="shared" si="123"/>
        <v>2824.8</v>
      </c>
      <c r="O351" s="216"/>
    </row>
    <row r="352" spans="1:18" ht="30" x14ac:dyDescent="0.2">
      <c r="A352" s="35">
        <f>IF(G352&lt;&gt;"",1+MAX($A$6:A351),"")</f>
        <v>259</v>
      </c>
      <c r="B352" s="104" t="s">
        <v>441</v>
      </c>
      <c r="C352" s="15"/>
      <c r="D352" s="14"/>
      <c r="E352" s="167" t="s">
        <v>233</v>
      </c>
      <c r="F352" s="126" t="s">
        <v>31</v>
      </c>
      <c r="G352" s="126">
        <v>2</v>
      </c>
      <c r="H352" s="8">
        <v>7.0000000000000007E-2</v>
      </c>
      <c r="I352" s="18">
        <f t="shared" si="122"/>
        <v>2.14</v>
      </c>
      <c r="J352" s="194">
        <f>6.5*8*85</f>
        <v>4420</v>
      </c>
      <c r="K352" s="194">
        <v>90</v>
      </c>
      <c r="L352" s="219">
        <f t="shared" si="119"/>
        <v>9458.8000000000011</v>
      </c>
      <c r="M352" s="219">
        <f t="shared" si="120"/>
        <v>192.60000000000002</v>
      </c>
      <c r="N352" s="20">
        <f t="shared" si="123"/>
        <v>9651.4000000000015</v>
      </c>
      <c r="O352" s="216"/>
    </row>
    <row r="353" spans="1:18" s="109" customFormat="1" ht="30" x14ac:dyDescent="0.2">
      <c r="A353" s="35">
        <f>IF(G353&lt;&gt;"",1+MAX($A$6:A352),"")</f>
        <v>260</v>
      </c>
      <c r="B353" s="104" t="s">
        <v>441</v>
      </c>
      <c r="C353" s="105"/>
      <c r="D353" s="120"/>
      <c r="E353" s="167" t="s">
        <v>234</v>
      </c>
      <c r="F353" s="126" t="s">
        <v>31</v>
      </c>
      <c r="G353" s="126">
        <v>2</v>
      </c>
      <c r="H353" s="121">
        <v>7.0000000000000007E-2</v>
      </c>
      <c r="I353" s="107">
        <f t="shared" ref="I353:I356" si="124">G353*(1+H353)</f>
        <v>2.14</v>
      </c>
      <c r="J353" s="194">
        <f>6.5*5*85</f>
        <v>2762.5</v>
      </c>
      <c r="K353" s="194">
        <v>90</v>
      </c>
      <c r="L353" s="219">
        <f t="shared" si="119"/>
        <v>5911.75</v>
      </c>
      <c r="M353" s="219">
        <f t="shared" si="120"/>
        <v>192.60000000000002</v>
      </c>
      <c r="N353" s="20">
        <f>L353+M353</f>
        <v>6104.35</v>
      </c>
      <c r="O353" s="222"/>
      <c r="P353" s="122"/>
      <c r="Q353" s="122"/>
      <c r="R353" s="122"/>
    </row>
    <row r="354" spans="1:18" ht="30" x14ac:dyDescent="0.2">
      <c r="A354" s="35">
        <f>IF(G354&lt;&gt;"",1+MAX($A$6:A353),"")</f>
        <v>261</v>
      </c>
      <c r="B354" s="104" t="s">
        <v>441</v>
      </c>
      <c r="C354" s="105"/>
      <c r="D354" s="59"/>
      <c r="E354" s="167" t="s">
        <v>235</v>
      </c>
      <c r="F354" s="126" t="s">
        <v>31</v>
      </c>
      <c r="G354" s="126">
        <v>1</v>
      </c>
      <c r="H354" s="8">
        <v>7.0000000000000007E-2</v>
      </c>
      <c r="I354" s="18">
        <f t="shared" si="124"/>
        <v>1.07</v>
      </c>
      <c r="J354" s="194">
        <f>5*5*85</f>
        <v>2125</v>
      </c>
      <c r="K354" s="194">
        <v>90</v>
      </c>
      <c r="L354" s="219">
        <f t="shared" si="119"/>
        <v>2273.75</v>
      </c>
      <c r="M354" s="219">
        <f t="shared" si="120"/>
        <v>96.300000000000011</v>
      </c>
      <c r="N354" s="20">
        <f t="shared" ref="N354:N356" si="125">L354+M354</f>
        <v>2370.0500000000002</v>
      </c>
      <c r="O354" s="216"/>
    </row>
    <row r="355" spans="1:18" ht="30" x14ac:dyDescent="0.2">
      <c r="A355" s="35">
        <f>IF(G355&lt;&gt;"",1+MAX($A$6:A354),"")</f>
        <v>262</v>
      </c>
      <c r="B355" s="104" t="s">
        <v>441</v>
      </c>
      <c r="C355" s="15"/>
      <c r="D355" s="57"/>
      <c r="E355" s="167" t="s">
        <v>236</v>
      </c>
      <c r="F355" s="126" t="s">
        <v>31</v>
      </c>
      <c r="G355" s="126">
        <v>2</v>
      </c>
      <c r="H355" s="8">
        <v>7.0000000000000007E-2</v>
      </c>
      <c r="I355" s="18">
        <f t="shared" si="124"/>
        <v>2.14</v>
      </c>
      <c r="J355" s="194">
        <f>7.5*5*85</f>
        <v>3187.5</v>
      </c>
      <c r="K355" s="194">
        <v>90</v>
      </c>
      <c r="L355" s="219">
        <f t="shared" si="119"/>
        <v>6821.25</v>
      </c>
      <c r="M355" s="219">
        <f t="shared" si="120"/>
        <v>192.60000000000002</v>
      </c>
      <c r="N355" s="20">
        <f t="shared" si="125"/>
        <v>7013.85</v>
      </c>
      <c r="O355" s="216"/>
    </row>
    <row r="356" spans="1:18" ht="30" x14ac:dyDescent="0.2">
      <c r="A356" s="35">
        <f>IF(G356&lt;&gt;"",1+MAX($A$6:A355),"")</f>
        <v>263</v>
      </c>
      <c r="B356" s="104" t="s">
        <v>441</v>
      </c>
      <c r="C356" s="15"/>
      <c r="D356" s="14"/>
      <c r="E356" s="167" t="s">
        <v>237</v>
      </c>
      <c r="F356" s="126" t="s">
        <v>31</v>
      </c>
      <c r="G356" s="126">
        <v>4</v>
      </c>
      <c r="H356" s="8">
        <v>7.0000000000000007E-2</v>
      </c>
      <c r="I356" s="18">
        <f t="shared" si="124"/>
        <v>4.28</v>
      </c>
      <c r="J356" s="194">
        <f>7.5*4*85</f>
        <v>2550</v>
      </c>
      <c r="K356" s="194">
        <v>90</v>
      </c>
      <c r="L356" s="219">
        <f t="shared" si="119"/>
        <v>10914</v>
      </c>
      <c r="M356" s="219">
        <f t="shared" si="120"/>
        <v>385.20000000000005</v>
      </c>
      <c r="N356" s="20">
        <f t="shared" si="125"/>
        <v>11299.2</v>
      </c>
      <c r="O356" s="216"/>
    </row>
    <row r="357" spans="1:18" s="109" customFormat="1" ht="30" x14ac:dyDescent="0.2">
      <c r="A357" s="35">
        <f>IF(G357&lt;&gt;"",1+MAX($A$6:A356),"")</f>
        <v>264</v>
      </c>
      <c r="B357" s="104" t="s">
        <v>441</v>
      </c>
      <c r="C357" s="105"/>
      <c r="D357" s="120"/>
      <c r="E357" s="167" t="s">
        <v>238</v>
      </c>
      <c r="F357" s="126" t="s">
        <v>31</v>
      </c>
      <c r="G357" s="126">
        <v>6</v>
      </c>
      <c r="H357" s="121">
        <v>7.0000000000000007E-2</v>
      </c>
      <c r="I357" s="107">
        <f t="shared" ref="I357:I369" si="126">G357*(1+H357)</f>
        <v>6.42</v>
      </c>
      <c r="J357" s="194">
        <f>7.5*3*85</f>
        <v>1912.5</v>
      </c>
      <c r="K357" s="194">
        <v>90</v>
      </c>
      <c r="L357" s="219">
        <f t="shared" si="119"/>
        <v>12278.25</v>
      </c>
      <c r="M357" s="219">
        <f t="shared" si="120"/>
        <v>577.79999999999995</v>
      </c>
      <c r="N357" s="20">
        <f>L357+M357</f>
        <v>12856.05</v>
      </c>
      <c r="O357" s="222"/>
      <c r="P357" s="122"/>
      <c r="Q357" s="122"/>
      <c r="R357" s="122"/>
    </row>
    <row r="358" spans="1:18" ht="30" x14ac:dyDescent="0.2">
      <c r="A358" s="35">
        <f>IF(G358&lt;&gt;"",1+MAX($A$6:A357),"")</f>
        <v>265</v>
      </c>
      <c r="B358" s="104" t="s">
        <v>441</v>
      </c>
      <c r="C358" s="105"/>
      <c r="D358" s="59"/>
      <c r="E358" s="167" t="s">
        <v>239</v>
      </c>
      <c r="F358" s="126" t="s">
        <v>31</v>
      </c>
      <c r="G358" s="126">
        <v>3</v>
      </c>
      <c r="H358" s="8">
        <v>7.0000000000000007E-2</v>
      </c>
      <c r="I358" s="18">
        <f t="shared" si="126"/>
        <v>3.21</v>
      </c>
      <c r="J358" s="194">
        <f>6*3*85</f>
        <v>1530</v>
      </c>
      <c r="K358" s="194">
        <v>90</v>
      </c>
      <c r="L358" s="219">
        <f t="shared" si="119"/>
        <v>4911.3</v>
      </c>
      <c r="M358" s="219">
        <f t="shared" si="120"/>
        <v>288.89999999999998</v>
      </c>
      <c r="N358" s="20">
        <f t="shared" ref="N358:N360" si="127">L358+M358</f>
        <v>5200.2</v>
      </c>
      <c r="O358" s="216"/>
    </row>
    <row r="359" spans="1:18" ht="30" x14ac:dyDescent="0.2">
      <c r="A359" s="35">
        <f>IF(G359&lt;&gt;"",1+MAX($A$6:A358),"")</f>
        <v>266</v>
      </c>
      <c r="B359" s="104" t="s">
        <v>441</v>
      </c>
      <c r="C359" s="15"/>
      <c r="D359" s="57"/>
      <c r="E359" s="167" t="s">
        <v>240</v>
      </c>
      <c r="F359" s="126" t="s">
        <v>31</v>
      </c>
      <c r="G359" s="126">
        <v>2</v>
      </c>
      <c r="H359" s="8">
        <v>7.0000000000000007E-2</v>
      </c>
      <c r="I359" s="18">
        <f t="shared" si="126"/>
        <v>2.14</v>
      </c>
      <c r="J359" s="194">
        <f>5.5*3*85</f>
        <v>1402.5</v>
      </c>
      <c r="K359" s="194">
        <v>90</v>
      </c>
      <c r="L359" s="219">
        <f t="shared" si="119"/>
        <v>3001.3500000000004</v>
      </c>
      <c r="M359" s="219">
        <f t="shared" si="120"/>
        <v>192.60000000000002</v>
      </c>
      <c r="N359" s="20">
        <f t="shared" si="127"/>
        <v>3193.9500000000003</v>
      </c>
      <c r="O359" s="216"/>
    </row>
    <row r="360" spans="1:18" ht="30" x14ac:dyDescent="0.2">
      <c r="A360" s="35">
        <f>IF(G360&lt;&gt;"",1+MAX($A$6:A359),"")</f>
        <v>267</v>
      </c>
      <c r="B360" s="104" t="s">
        <v>441</v>
      </c>
      <c r="C360" s="15"/>
      <c r="D360" s="14"/>
      <c r="E360" s="167" t="s">
        <v>241</v>
      </c>
      <c r="F360" s="126" t="s">
        <v>31</v>
      </c>
      <c r="G360" s="126">
        <v>1</v>
      </c>
      <c r="H360" s="8">
        <v>7.0000000000000007E-2</v>
      </c>
      <c r="I360" s="18">
        <f t="shared" si="126"/>
        <v>1.07</v>
      </c>
      <c r="J360" s="194">
        <f>6.5*12*85</f>
        <v>6630</v>
      </c>
      <c r="K360" s="194">
        <v>90</v>
      </c>
      <c r="L360" s="219">
        <f t="shared" si="119"/>
        <v>7094.1</v>
      </c>
      <c r="M360" s="219">
        <f t="shared" si="120"/>
        <v>96.300000000000011</v>
      </c>
      <c r="N360" s="20">
        <f t="shared" si="127"/>
        <v>7190.4000000000005</v>
      </c>
      <c r="O360" s="216"/>
    </row>
    <row r="361" spans="1:18" s="109" customFormat="1" ht="30" x14ac:dyDescent="0.2">
      <c r="A361" s="35">
        <f>IF(G361&lt;&gt;"",1+MAX($A$6:A360),"")</f>
        <v>268</v>
      </c>
      <c r="B361" s="104" t="s">
        <v>441</v>
      </c>
      <c r="C361" s="105"/>
      <c r="D361" s="120"/>
      <c r="E361" s="167" t="s">
        <v>242</v>
      </c>
      <c r="F361" s="126" t="s">
        <v>31</v>
      </c>
      <c r="G361" s="126">
        <v>1</v>
      </c>
      <c r="H361" s="121">
        <v>7.0000000000000007E-2</v>
      </c>
      <c r="I361" s="107">
        <f t="shared" si="126"/>
        <v>1.07</v>
      </c>
      <c r="J361" s="194">
        <f>2*5.33*85</f>
        <v>906.1</v>
      </c>
      <c r="K361" s="194">
        <v>90</v>
      </c>
      <c r="L361" s="219">
        <f t="shared" si="119"/>
        <v>969.52700000000004</v>
      </c>
      <c r="M361" s="219">
        <f t="shared" si="120"/>
        <v>96.300000000000011</v>
      </c>
      <c r="N361" s="20">
        <f>L361+M361</f>
        <v>1065.827</v>
      </c>
      <c r="O361" s="222"/>
      <c r="P361" s="122"/>
      <c r="Q361" s="122"/>
      <c r="R361" s="122"/>
    </row>
    <row r="362" spans="1:18" ht="30" x14ac:dyDescent="0.2">
      <c r="A362" s="35">
        <f>IF(G362&lt;&gt;"",1+MAX($A$6:A361),"")</f>
        <v>269</v>
      </c>
      <c r="B362" s="104" t="s">
        <v>441</v>
      </c>
      <c r="C362" s="105"/>
      <c r="D362" s="59"/>
      <c r="E362" s="167" t="s">
        <v>243</v>
      </c>
      <c r="F362" s="126" t="s">
        <v>31</v>
      </c>
      <c r="G362" s="126">
        <v>1</v>
      </c>
      <c r="H362" s="8">
        <v>7.0000000000000007E-2</v>
      </c>
      <c r="I362" s="18">
        <f t="shared" si="126"/>
        <v>1.07</v>
      </c>
      <c r="J362" s="194">
        <f>2*10.66*85</f>
        <v>1812.2</v>
      </c>
      <c r="K362" s="194">
        <v>90</v>
      </c>
      <c r="L362" s="219">
        <f t="shared" si="119"/>
        <v>1939.0540000000001</v>
      </c>
      <c r="M362" s="219">
        <f t="shared" si="120"/>
        <v>96.300000000000011</v>
      </c>
      <c r="N362" s="20">
        <f t="shared" ref="N362:N365" si="128">L362+M362</f>
        <v>2035.354</v>
      </c>
      <c r="O362" s="216"/>
    </row>
    <row r="363" spans="1:18" ht="30.75" thickBot="1" x14ac:dyDescent="0.25">
      <c r="A363" s="35">
        <f>IF(G363&lt;&gt;"",1+MAX($A$6:A362),"")</f>
        <v>270</v>
      </c>
      <c r="B363" s="104" t="s">
        <v>441</v>
      </c>
      <c r="C363" s="15"/>
      <c r="D363" s="57"/>
      <c r="E363" s="167" t="s">
        <v>244</v>
      </c>
      <c r="F363" s="126" t="s">
        <v>31</v>
      </c>
      <c r="G363" s="126">
        <v>2</v>
      </c>
      <c r="H363" s="8">
        <v>7.0000000000000007E-2</v>
      </c>
      <c r="I363" s="18">
        <f t="shared" si="126"/>
        <v>2.14</v>
      </c>
      <c r="J363" s="194">
        <f>9.5*4.5*85</f>
        <v>3633.75</v>
      </c>
      <c r="K363" s="194">
        <v>90</v>
      </c>
      <c r="L363" s="219">
        <f t="shared" si="119"/>
        <v>7776.2250000000004</v>
      </c>
      <c r="M363" s="219">
        <f t="shared" si="120"/>
        <v>192.60000000000002</v>
      </c>
      <c r="N363" s="20">
        <f t="shared" si="128"/>
        <v>7968.8250000000007</v>
      </c>
      <c r="O363" s="216"/>
    </row>
    <row r="364" spans="1:18" ht="15.75" thickBot="1" x14ac:dyDescent="0.2">
      <c r="A364" s="35" t="str">
        <f>IF(G364&lt;&gt;"",1+MAX($A$6:A363),"")</f>
        <v/>
      </c>
      <c r="B364" s="104"/>
      <c r="C364" s="42"/>
      <c r="D364" s="43"/>
      <c r="E364" s="240" t="s">
        <v>48</v>
      </c>
      <c r="F364" s="241"/>
      <c r="G364" s="242"/>
      <c r="H364" s="44"/>
      <c r="I364" s="45"/>
      <c r="J364" s="214"/>
      <c r="K364" s="214"/>
      <c r="L364" s="214"/>
      <c r="M364" s="214"/>
      <c r="N364" s="215"/>
      <c r="O364" s="216"/>
    </row>
    <row r="365" spans="1:18" ht="30" x14ac:dyDescent="0.2">
      <c r="A365" s="35">
        <f>IF(G365&lt;&gt;"",1+MAX($A$6:A364),"")</f>
        <v>271</v>
      </c>
      <c r="B365" s="104" t="s">
        <v>441</v>
      </c>
      <c r="C365" s="15"/>
      <c r="D365" s="14"/>
      <c r="E365" s="167" t="s">
        <v>245</v>
      </c>
      <c r="F365" s="126" t="s">
        <v>31</v>
      </c>
      <c r="G365" s="126">
        <v>5</v>
      </c>
      <c r="H365" s="8">
        <v>7.0000000000000007E-2</v>
      </c>
      <c r="I365" s="18">
        <f t="shared" si="126"/>
        <v>5.3500000000000005</v>
      </c>
      <c r="J365" s="194">
        <f>6*7*85</f>
        <v>3570</v>
      </c>
      <c r="K365" s="194">
        <v>90</v>
      </c>
      <c r="L365" s="219">
        <f t="shared" ref="L365:L377" si="129">J365*I365</f>
        <v>19099.500000000004</v>
      </c>
      <c r="M365" s="219">
        <f t="shared" ref="M365:M377" si="130">K365*I365</f>
        <v>481.50000000000006</v>
      </c>
      <c r="N365" s="20">
        <f t="shared" si="128"/>
        <v>19581.000000000004</v>
      </c>
      <c r="O365" s="216"/>
    </row>
    <row r="366" spans="1:18" s="109" customFormat="1" ht="30" x14ac:dyDescent="0.2">
      <c r="A366" s="35">
        <f>IF(G366&lt;&gt;"",1+MAX($A$6:A365),"")</f>
        <v>272</v>
      </c>
      <c r="B366" s="104" t="s">
        <v>441</v>
      </c>
      <c r="C366" s="105"/>
      <c r="D366" s="120"/>
      <c r="E366" s="167" t="s">
        <v>246</v>
      </c>
      <c r="F366" s="126" t="s">
        <v>31</v>
      </c>
      <c r="G366" s="126">
        <v>11</v>
      </c>
      <c r="H366" s="121">
        <v>7.0000000000000007E-2</v>
      </c>
      <c r="I366" s="107">
        <f t="shared" si="126"/>
        <v>11.770000000000001</v>
      </c>
      <c r="J366" s="194">
        <f>3*7*85</f>
        <v>1785</v>
      </c>
      <c r="K366" s="194">
        <v>90</v>
      </c>
      <c r="L366" s="219">
        <f t="shared" si="129"/>
        <v>21009.45</v>
      </c>
      <c r="M366" s="219">
        <f t="shared" si="130"/>
        <v>1059.3000000000002</v>
      </c>
      <c r="N366" s="20">
        <f>L366+M366</f>
        <v>22068.75</v>
      </c>
      <c r="O366" s="222"/>
      <c r="P366" s="122"/>
      <c r="Q366" s="122"/>
      <c r="R366" s="122"/>
    </row>
    <row r="367" spans="1:18" ht="30" x14ac:dyDescent="0.2">
      <c r="A367" s="35">
        <f>IF(G367&lt;&gt;"",1+MAX($A$6:A366),"")</f>
        <v>273</v>
      </c>
      <c r="B367" s="104" t="s">
        <v>441</v>
      </c>
      <c r="C367" s="105"/>
      <c r="D367" s="59"/>
      <c r="E367" s="167" t="s">
        <v>247</v>
      </c>
      <c r="F367" s="126" t="s">
        <v>31</v>
      </c>
      <c r="G367" s="126">
        <v>2</v>
      </c>
      <c r="H367" s="8">
        <v>7.0000000000000007E-2</v>
      </c>
      <c r="I367" s="18">
        <f t="shared" si="126"/>
        <v>2.14</v>
      </c>
      <c r="J367" s="194">
        <f>6*7*85</f>
        <v>3570</v>
      </c>
      <c r="K367" s="194">
        <v>90</v>
      </c>
      <c r="L367" s="219">
        <f t="shared" si="129"/>
        <v>7639.8</v>
      </c>
      <c r="M367" s="219">
        <f t="shared" si="130"/>
        <v>192.60000000000002</v>
      </c>
      <c r="N367" s="20">
        <f t="shared" ref="N367:N369" si="131">L367+M367</f>
        <v>7832.4000000000005</v>
      </c>
      <c r="O367" s="216"/>
    </row>
    <row r="368" spans="1:18" ht="30" x14ac:dyDescent="0.2">
      <c r="A368" s="35">
        <f>IF(G368&lt;&gt;"",1+MAX($A$6:A367),"")</f>
        <v>274</v>
      </c>
      <c r="B368" s="104" t="s">
        <v>441</v>
      </c>
      <c r="C368" s="15"/>
      <c r="D368" s="57"/>
      <c r="E368" s="167" t="s">
        <v>248</v>
      </c>
      <c r="F368" s="126" t="s">
        <v>31</v>
      </c>
      <c r="G368" s="126">
        <v>11</v>
      </c>
      <c r="H368" s="8">
        <v>7.0000000000000007E-2</v>
      </c>
      <c r="I368" s="18">
        <f t="shared" si="126"/>
        <v>11.770000000000001</v>
      </c>
      <c r="J368" s="194">
        <f>3*7*85</f>
        <v>1785</v>
      </c>
      <c r="K368" s="194">
        <v>90</v>
      </c>
      <c r="L368" s="219">
        <f t="shared" si="129"/>
        <v>21009.45</v>
      </c>
      <c r="M368" s="219">
        <f t="shared" si="130"/>
        <v>1059.3000000000002</v>
      </c>
      <c r="N368" s="20">
        <f t="shared" si="131"/>
        <v>22068.75</v>
      </c>
      <c r="O368" s="216"/>
    </row>
    <row r="369" spans="1:18" ht="30" x14ac:dyDescent="0.2">
      <c r="A369" s="35">
        <f>IF(G369&lt;&gt;"",1+MAX($A$6:A368),"")</f>
        <v>275</v>
      </c>
      <c r="B369" s="104" t="s">
        <v>441</v>
      </c>
      <c r="C369" s="15"/>
      <c r="D369" s="14"/>
      <c r="E369" s="167" t="s">
        <v>249</v>
      </c>
      <c r="F369" s="126" t="s">
        <v>31</v>
      </c>
      <c r="G369" s="126">
        <v>1</v>
      </c>
      <c r="H369" s="8">
        <v>7.0000000000000007E-2</v>
      </c>
      <c r="I369" s="18">
        <f t="shared" si="126"/>
        <v>1.07</v>
      </c>
      <c r="J369" s="194">
        <f>3*7*85</f>
        <v>1785</v>
      </c>
      <c r="K369" s="194">
        <v>90</v>
      </c>
      <c r="L369" s="219">
        <f t="shared" si="129"/>
        <v>1909.95</v>
      </c>
      <c r="M369" s="219">
        <f t="shared" si="130"/>
        <v>96.300000000000011</v>
      </c>
      <c r="N369" s="20">
        <f t="shared" si="131"/>
        <v>2006.25</v>
      </c>
      <c r="O369" s="216"/>
    </row>
    <row r="370" spans="1:18" s="109" customFormat="1" ht="30" x14ac:dyDescent="0.2">
      <c r="A370" s="35">
        <f>IF(G370&lt;&gt;"",1+MAX($A$6:A369),"")</f>
        <v>276</v>
      </c>
      <c r="B370" s="104" t="s">
        <v>441</v>
      </c>
      <c r="C370" s="105"/>
      <c r="D370" s="120"/>
      <c r="E370" s="167" t="s">
        <v>250</v>
      </c>
      <c r="F370" s="126" t="s">
        <v>31</v>
      </c>
      <c r="G370" s="126">
        <v>1</v>
      </c>
      <c r="H370" s="121">
        <v>7.0000000000000007E-2</v>
      </c>
      <c r="I370" s="107">
        <f t="shared" ref="I370:I377" si="132">G370*(1+H370)</f>
        <v>1.07</v>
      </c>
      <c r="J370" s="194">
        <f>8*7*85</f>
        <v>4760</v>
      </c>
      <c r="K370" s="194">
        <v>90</v>
      </c>
      <c r="L370" s="219">
        <f t="shared" si="129"/>
        <v>5093.2000000000007</v>
      </c>
      <c r="M370" s="219">
        <f t="shared" si="130"/>
        <v>96.300000000000011</v>
      </c>
      <c r="N370" s="20">
        <f>L370+M370</f>
        <v>5189.5000000000009</v>
      </c>
      <c r="O370" s="222"/>
      <c r="P370" s="122"/>
      <c r="Q370" s="122"/>
      <c r="R370" s="122"/>
    </row>
    <row r="371" spans="1:18" ht="30" x14ac:dyDescent="0.2">
      <c r="A371" s="35">
        <f>IF(G371&lt;&gt;"",1+MAX($A$6:A370),"")</f>
        <v>277</v>
      </c>
      <c r="B371" s="104" t="s">
        <v>441</v>
      </c>
      <c r="C371" s="105"/>
      <c r="D371" s="59"/>
      <c r="E371" s="167" t="s">
        <v>251</v>
      </c>
      <c r="F371" s="126" t="s">
        <v>31</v>
      </c>
      <c r="G371" s="126">
        <v>2</v>
      </c>
      <c r="H371" s="8">
        <v>7.0000000000000007E-2</v>
      </c>
      <c r="I371" s="18">
        <f t="shared" si="132"/>
        <v>2.14</v>
      </c>
      <c r="J371" s="194">
        <f>12*8.5*85</f>
        <v>8670</v>
      </c>
      <c r="K371" s="194">
        <v>90</v>
      </c>
      <c r="L371" s="219">
        <f t="shared" si="129"/>
        <v>18553.8</v>
      </c>
      <c r="M371" s="219">
        <f t="shared" si="130"/>
        <v>192.60000000000002</v>
      </c>
      <c r="N371" s="20">
        <f t="shared" ref="N371:N373" si="133">L371+M371</f>
        <v>18746.399999999998</v>
      </c>
      <c r="O371" s="216"/>
    </row>
    <row r="372" spans="1:18" ht="30" x14ac:dyDescent="0.2">
      <c r="A372" s="35">
        <f>IF(G372&lt;&gt;"",1+MAX($A$6:A371),"")</f>
        <v>278</v>
      </c>
      <c r="B372" s="104" t="s">
        <v>441</v>
      </c>
      <c r="C372" s="15"/>
      <c r="D372" s="57"/>
      <c r="E372" s="167" t="s">
        <v>252</v>
      </c>
      <c r="F372" s="126" t="s">
        <v>31</v>
      </c>
      <c r="G372" s="126">
        <v>4</v>
      </c>
      <c r="H372" s="8">
        <v>7.0000000000000007E-2</v>
      </c>
      <c r="I372" s="18">
        <f t="shared" si="132"/>
        <v>4.28</v>
      </c>
      <c r="J372" s="194">
        <f>3*8*85</f>
        <v>2040</v>
      </c>
      <c r="K372" s="194">
        <v>90</v>
      </c>
      <c r="L372" s="219">
        <f t="shared" si="129"/>
        <v>8731.2000000000007</v>
      </c>
      <c r="M372" s="219">
        <f t="shared" si="130"/>
        <v>385.20000000000005</v>
      </c>
      <c r="N372" s="20">
        <f t="shared" si="133"/>
        <v>9116.4000000000015</v>
      </c>
      <c r="O372" s="216"/>
    </row>
    <row r="373" spans="1:18" ht="30" x14ac:dyDescent="0.2">
      <c r="A373" s="35">
        <f>IF(G373&lt;&gt;"",1+MAX($A$6:A372),"")</f>
        <v>279</v>
      </c>
      <c r="B373" s="104" t="s">
        <v>441</v>
      </c>
      <c r="C373" s="15"/>
      <c r="D373" s="14"/>
      <c r="E373" s="167" t="s">
        <v>253</v>
      </c>
      <c r="F373" s="126" t="s">
        <v>31</v>
      </c>
      <c r="G373" s="126">
        <v>1</v>
      </c>
      <c r="H373" s="8">
        <v>7.0000000000000007E-2</v>
      </c>
      <c r="I373" s="18">
        <f t="shared" si="132"/>
        <v>1.07</v>
      </c>
      <c r="J373" s="194">
        <f>3.5*7*85</f>
        <v>2082.5</v>
      </c>
      <c r="K373" s="194">
        <v>90</v>
      </c>
      <c r="L373" s="219">
        <f t="shared" si="129"/>
        <v>2228.2750000000001</v>
      </c>
      <c r="M373" s="219">
        <f t="shared" si="130"/>
        <v>96.300000000000011</v>
      </c>
      <c r="N373" s="20">
        <f t="shared" si="133"/>
        <v>2324.5750000000003</v>
      </c>
      <c r="O373" s="216"/>
    </row>
    <row r="374" spans="1:18" s="109" customFormat="1" ht="30" x14ac:dyDescent="0.2">
      <c r="A374" s="35">
        <f>IF(G374&lt;&gt;"",1+MAX($A$6:A373),"")</f>
        <v>280</v>
      </c>
      <c r="B374" s="104" t="s">
        <v>441</v>
      </c>
      <c r="C374" s="105"/>
      <c r="D374" s="120"/>
      <c r="E374" s="167" t="s">
        <v>254</v>
      </c>
      <c r="F374" s="126" t="s">
        <v>31</v>
      </c>
      <c r="G374" s="126">
        <v>1</v>
      </c>
      <c r="H374" s="121">
        <v>7.0000000000000007E-2</v>
      </c>
      <c r="I374" s="107">
        <f t="shared" si="132"/>
        <v>1.07</v>
      </c>
      <c r="J374" s="194">
        <f>3*7.75*85</f>
        <v>1976.25</v>
      </c>
      <c r="K374" s="194">
        <v>90</v>
      </c>
      <c r="L374" s="219">
        <f t="shared" si="129"/>
        <v>2114.5875000000001</v>
      </c>
      <c r="M374" s="219">
        <f t="shared" si="130"/>
        <v>96.300000000000011</v>
      </c>
      <c r="N374" s="20">
        <f>L374+M374</f>
        <v>2210.8875000000003</v>
      </c>
      <c r="O374" s="222"/>
      <c r="P374" s="122"/>
      <c r="Q374" s="122"/>
      <c r="R374" s="122"/>
    </row>
    <row r="375" spans="1:18" ht="30" x14ac:dyDescent="0.2">
      <c r="A375" s="35">
        <f>IF(G375&lt;&gt;"",1+MAX($A$6:A374),"")</f>
        <v>281</v>
      </c>
      <c r="B375" s="104" t="s">
        <v>441</v>
      </c>
      <c r="C375" s="105"/>
      <c r="D375" s="59"/>
      <c r="E375" s="167" t="s">
        <v>255</v>
      </c>
      <c r="F375" s="126" t="s">
        <v>31</v>
      </c>
      <c r="G375" s="126">
        <v>3</v>
      </c>
      <c r="H375" s="8">
        <v>7.0000000000000007E-2</v>
      </c>
      <c r="I375" s="18">
        <f t="shared" si="132"/>
        <v>3.21</v>
      </c>
      <c r="J375" s="194">
        <f>3*7.75*85</f>
        <v>1976.25</v>
      </c>
      <c r="K375" s="194">
        <v>90</v>
      </c>
      <c r="L375" s="219">
        <f t="shared" si="129"/>
        <v>6343.7624999999998</v>
      </c>
      <c r="M375" s="219">
        <f t="shared" si="130"/>
        <v>288.89999999999998</v>
      </c>
      <c r="N375" s="20">
        <f t="shared" ref="N375:N377" si="134">L375+M375</f>
        <v>6632.6624999999995</v>
      </c>
      <c r="O375" s="216"/>
    </row>
    <row r="376" spans="1:18" ht="30" x14ac:dyDescent="0.2">
      <c r="A376" s="35">
        <f>IF(G376&lt;&gt;"",1+MAX($A$6:A375),"")</f>
        <v>282</v>
      </c>
      <c r="B376" s="104" t="s">
        <v>441</v>
      </c>
      <c r="C376" s="15"/>
      <c r="D376" s="57"/>
      <c r="E376" s="167" t="s">
        <v>248</v>
      </c>
      <c r="F376" s="126" t="s">
        <v>31</v>
      </c>
      <c r="G376" s="126">
        <v>52</v>
      </c>
      <c r="H376" s="8">
        <v>7.0000000000000007E-2</v>
      </c>
      <c r="I376" s="18">
        <f t="shared" si="132"/>
        <v>55.64</v>
      </c>
      <c r="J376" s="194">
        <f>3*7*85</f>
        <v>1785</v>
      </c>
      <c r="K376" s="194">
        <v>90</v>
      </c>
      <c r="L376" s="219">
        <f t="shared" si="129"/>
        <v>99317.4</v>
      </c>
      <c r="M376" s="219">
        <f t="shared" si="130"/>
        <v>5007.6000000000004</v>
      </c>
      <c r="N376" s="20">
        <f t="shared" si="134"/>
        <v>104325</v>
      </c>
      <c r="O376" s="216"/>
    </row>
    <row r="377" spans="1:18" ht="30" x14ac:dyDescent="0.2">
      <c r="A377" s="35">
        <f>IF(G377&lt;&gt;"",1+MAX($A$6:A376),"")</f>
        <v>283</v>
      </c>
      <c r="B377" s="104" t="s">
        <v>441</v>
      </c>
      <c r="C377" s="15"/>
      <c r="D377" s="14"/>
      <c r="E377" s="167" t="s">
        <v>256</v>
      </c>
      <c r="F377" s="126" t="s">
        <v>31</v>
      </c>
      <c r="G377" s="126">
        <v>26</v>
      </c>
      <c r="H377" s="8">
        <v>7.0000000000000007E-2</v>
      </c>
      <c r="I377" s="18">
        <f t="shared" si="132"/>
        <v>27.82</v>
      </c>
      <c r="J377" s="194">
        <f>8*8*85</f>
        <v>5440</v>
      </c>
      <c r="K377" s="194">
        <v>90</v>
      </c>
      <c r="L377" s="219">
        <f t="shared" si="129"/>
        <v>151340.79999999999</v>
      </c>
      <c r="M377" s="219">
        <f t="shared" si="130"/>
        <v>2503.8000000000002</v>
      </c>
      <c r="N377" s="20">
        <f t="shared" si="134"/>
        <v>153844.59999999998</v>
      </c>
      <c r="O377" s="216"/>
    </row>
    <row r="378" spans="1:18" ht="15.75" thickBot="1" x14ac:dyDescent="0.2">
      <c r="A378" s="35" t="str">
        <f>IF(G378&lt;&gt;"",1+MAX($A$6:A377),"")</f>
        <v/>
      </c>
      <c r="B378" s="104"/>
      <c r="C378" s="15"/>
      <c r="D378" s="14"/>
      <c r="E378" s="58"/>
      <c r="F378" s="99"/>
      <c r="G378" s="13"/>
      <c r="H378" s="17"/>
      <c r="I378" s="18"/>
      <c r="J378" s="220"/>
      <c r="K378" s="220"/>
      <c r="L378" s="220"/>
      <c r="M378" s="220"/>
      <c r="N378" s="20"/>
      <c r="O378" s="216"/>
    </row>
    <row r="379" spans="1:18" ht="15.75" thickBot="1" x14ac:dyDescent="0.2">
      <c r="A379" s="35" t="str">
        <f>IF(G379&lt;&gt;"",1+MAX($A$6:A378),"")</f>
        <v/>
      </c>
      <c r="B379" s="106"/>
      <c r="C379" s="14"/>
      <c r="D379" s="62"/>
      <c r="E379" s="63" t="s">
        <v>38</v>
      </c>
      <c r="F379" s="99"/>
      <c r="G379" s="56"/>
      <c r="H379" s="64"/>
      <c r="I379" s="18"/>
      <c r="J379" s="224"/>
      <c r="K379" s="224"/>
      <c r="L379" s="224"/>
      <c r="M379" s="224"/>
      <c r="N379" s="65"/>
      <c r="O379" s="66">
        <f>SUM(N346:N378)</f>
        <v>620670.40600000008</v>
      </c>
      <c r="P379" s="67"/>
    </row>
    <row r="380" spans="1:18" ht="15.75" thickBot="1" x14ac:dyDescent="0.2">
      <c r="A380" s="35" t="str">
        <f>IF(G380&lt;&gt;"",1+MAX($A$6:A379),"")</f>
        <v/>
      </c>
      <c r="B380" s="104"/>
      <c r="C380" s="15"/>
      <c r="D380" s="61"/>
      <c r="E380" s="47"/>
      <c r="F380" s="99"/>
      <c r="G380" s="13"/>
      <c r="H380" s="8"/>
      <c r="I380" s="18"/>
      <c r="J380" s="220"/>
      <c r="K380" s="220"/>
      <c r="L380" s="220"/>
      <c r="M380" s="220"/>
      <c r="N380" s="20"/>
      <c r="O380" s="216"/>
    </row>
    <row r="381" spans="1:18" s="41" customFormat="1" ht="15.75" thickBot="1" x14ac:dyDescent="0.2">
      <c r="A381" s="35" t="str">
        <f>IF(G381&lt;&gt;"",1+MAX($A$6:A380),"")</f>
        <v/>
      </c>
      <c r="B381" s="112"/>
      <c r="C381" s="36"/>
      <c r="D381" s="37" t="s">
        <v>49</v>
      </c>
      <c r="E381" s="38" t="s">
        <v>50</v>
      </c>
      <c r="F381" s="40"/>
      <c r="G381" s="39"/>
      <c r="H381" s="40"/>
      <c r="I381" s="40"/>
      <c r="J381" s="225"/>
      <c r="K381" s="225"/>
      <c r="L381" s="225"/>
      <c r="M381" s="225"/>
      <c r="N381" s="226"/>
      <c r="O381" s="213"/>
      <c r="P381" s="125"/>
    </row>
    <row r="382" spans="1:18" ht="15.75" thickBot="1" x14ac:dyDescent="0.2">
      <c r="A382" s="35" t="str">
        <f>IF(G382&lt;&gt;"",1+MAX($A$6:A381),"")</f>
        <v/>
      </c>
      <c r="B382" s="104"/>
      <c r="C382" s="42"/>
      <c r="D382" s="43"/>
      <c r="E382" s="240" t="s">
        <v>51</v>
      </c>
      <c r="F382" s="241"/>
      <c r="G382" s="242"/>
      <c r="H382" s="44"/>
      <c r="I382" s="45"/>
      <c r="J382" s="214"/>
      <c r="K382" s="214"/>
      <c r="L382" s="214"/>
      <c r="M382" s="214"/>
      <c r="N382" s="215"/>
      <c r="O382" s="216"/>
    </row>
    <row r="383" spans="1:18" x14ac:dyDescent="0.15">
      <c r="A383" s="35">
        <f>IF(G383&lt;&gt;"",1+MAX($A$6:A382),"")</f>
        <v>284</v>
      </c>
      <c r="B383" s="104" t="s">
        <v>440</v>
      </c>
      <c r="C383" s="105"/>
      <c r="D383" s="59"/>
      <c r="E383" s="184" t="s">
        <v>257</v>
      </c>
      <c r="F383" s="130" t="s">
        <v>91</v>
      </c>
      <c r="G383" s="130">
        <v>1700.34</v>
      </c>
      <c r="H383" s="185"/>
      <c r="I383" s="131"/>
      <c r="J383" s="219"/>
      <c r="K383" s="219"/>
      <c r="L383" s="219"/>
      <c r="M383" s="219"/>
      <c r="N383" s="132"/>
      <c r="O383" s="216"/>
    </row>
    <row r="384" spans="1:18" x14ac:dyDescent="0.15">
      <c r="A384" s="35">
        <f>IF(G384&lt;&gt;"",1+MAX($A$6:A383),"")</f>
        <v>285</v>
      </c>
      <c r="B384" s="104"/>
      <c r="C384" s="15"/>
      <c r="D384" s="57"/>
      <c r="E384" s="167" t="s">
        <v>258</v>
      </c>
      <c r="F384" s="126" t="s">
        <v>12</v>
      </c>
      <c r="G384" s="126">
        <f>1700*9</f>
        <v>15300</v>
      </c>
      <c r="H384" s="8">
        <v>7.0000000000000007E-2</v>
      </c>
      <c r="I384" s="18">
        <f t="shared" ref="I384:I400" si="135">G384*(1+H384)</f>
        <v>16371.000000000002</v>
      </c>
      <c r="J384" s="194">
        <v>5</v>
      </c>
      <c r="K384" s="194">
        <v>3</v>
      </c>
      <c r="L384" s="219">
        <f>J384*I384</f>
        <v>81855.000000000015</v>
      </c>
      <c r="M384" s="219">
        <f>K384*I384</f>
        <v>49113.000000000007</v>
      </c>
      <c r="N384" s="20">
        <f t="shared" ref="N384:N385" si="136">L384+M384</f>
        <v>130968.00000000003</v>
      </c>
      <c r="O384" s="216"/>
    </row>
    <row r="385" spans="1:18" x14ac:dyDescent="0.15">
      <c r="A385" s="35">
        <f>IF(G385&lt;&gt;"",1+MAX($A$6:A384),"")</f>
        <v>286</v>
      </c>
      <c r="B385" s="104"/>
      <c r="C385" s="15"/>
      <c r="D385" s="14"/>
      <c r="E385" s="167" t="s">
        <v>259</v>
      </c>
      <c r="F385" s="126" t="s">
        <v>12</v>
      </c>
      <c r="G385" s="126">
        <f>1700*9</f>
        <v>15300</v>
      </c>
      <c r="H385" s="8">
        <v>7.0000000000000007E-2</v>
      </c>
      <c r="I385" s="18">
        <f t="shared" si="135"/>
        <v>16371.000000000002</v>
      </c>
      <c r="J385" s="194">
        <v>1</v>
      </c>
      <c r="K385" s="194">
        <v>1</v>
      </c>
      <c r="L385" s="219">
        <f>J385*I385</f>
        <v>16371.000000000002</v>
      </c>
      <c r="M385" s="219">
        <f>K385*I385</f>
        <v>16371.000000000002</v>
      </c>
      <c r="N385" s="20">
        <f t="shared" si="136"/>
        <v>32742.000000000004</v>
      </c>
      <c r="O385" s="216"/>
    </row>
    <row r="386" spans="1:18" s="109" customFormat="1" x14ac:dyDescent="0.15">
      <c r="A386" s="35">
        <f>IF(G386&lt;&gt;"",1+MAX($A$6:A385),"")</f>
        <v>287</v>
      </c>
      <c r="B386" s="104"/>
      <c r="C386" s="105"/>
      <c r="D386" s="120"/>
      <c r="E386" s="167" t="s">
        <v>260</v>
      </c>
      <c r="F386" s="126" t="s">
        <v>12</v>
      </c>
      <c r="G386" s="126">
        <f>1700*9</f>
        <v>15300</v>
      </c>
      <c r="H386" s="121">
        <v>7.0000000000000007E-2</v>
      </c>
      <c r="I386" s="107">
        <f t="shared" si="135"/>
        <v>16371.000000000002</v>
      </c>
      <c r="J386" s="194">
        <v>2</v>
      </c>
      <c r="K386" s="194">
        <v>2</v>
      </c>
      <c r="L386" s="219">
        <f>J386*I386</f>
        <v>32742.000000000004</v>
      </c>
      <c r="M386" s="219">
        <f>K386*I386</f>
        <v>32742.000000000004</v>
      </c>
      <c r="N386" s="20">
        <f>L386+M386</f>
        <v>65484.000000000007</v>
      </c>
      <c r="O386" s="222"/>
      <c r="P386" s="122"/>
      <c r="Q386" s="122"/>
      <c r="R386" s="122"/>
    </row>
    <row r="387" spans="1:18" x14ac:dyDescent="0.15">
      <c r="A387" s="35">
        <f>IF(G387&lt;&gt;"",1+MAX($A$6:A386),"")</f>
        <v>288</v>
      </c>
      <c r="B387" s="104"/>
      <c r="C387" s="105"/>
      <c r="D387" s="59"/>
      <c r="E387" s="167" t="s">
        <v>261</v>
      </c>
      <c r="F387" s="126" t="s">
        <v>12</v>
      </c>
      <c r="G387" s="126">
        <f>1700*9</f>
        <v>15300</v>
      </c>
      <c r="H387" s="8">
        <v>7.0000000000000007E-2</v>
      </c>
      <c r="I387" s="18">
        <f t="shared" si="135"/>
        <v>16371.000000000002</v>
      </c>
      <c r="J387" s="194">
        <v>1</v>
      </c>
      <c r="K387" s="194">
        <v>1</v>
      </c>
      <c r="L387" s="219">
        <f>J387*I387</f>
        <v>16371.000000000002</v>
      </c>
      <c r="M387" s="219">
        <f>K387*I387</f>
        <v>16371.000000000002</v>
      </c>
      <c r="N387" s="20">
        <f t="shared" ref="N387:N393" si="137">L387+M387</f>
        <v>32742.000000000004</v>
      </c>
      <c r="O387" s="216"/>
    </row>
    <row r="388" spans="1:18" x14ac:dyDescent="0.15">
      <c r="A388" s="35">
        <f>IF(G388&lt;&gt;"",1+MAX($A$6:A387),"")</f>
        <v>289</v>
      </c>
      <c r="B388" s="104"/>
      <c r="C388" s="15"/>
      <c r="D388" s="57"/>
      <c r="E388" s="167" t="s">
        <v>262</v>
      </c>
      <c r="F388" s="126" t="s">
        <v>12</v>
      </c>
      <c r="G388" s="126">
        <f>1700*9</f>
        <v>15300</v>
      </c>
      <c r="H388" s="8">
        <v>7.0000000000000007E-2</v>
      </c>
      <c r="I388" s="18">
        <f t="shared" si="135"/>
        <v>16371.000000000002</v>
      </c>
      <c r="J388" s="194">
        <v>2</v>
      </c>
      <c r="K388" s="194">
        <v>2</v>
      </c>
      <c r="L388" s="219">
        <f>J388*I388</f>
        <v>32742.000000000004</v>
      </c>
      <c r="M388" s="219">
        <f>K388*I388</f>
        <v>32742.000000000004</v>
      </c>
      <c r="N388" s="20">
        <f t="shared" si="137"/>
        <v>65484.000000000007</v>
      </c>
      <c r="O388" s="216"/>
    </row>
    <row r="389" spans="1:18" x14ac:dyDescent="0.15">
      <c r="A389" s="35" t="str">
        <f>IF(G389&lt;&gt;"",1+MAX($A$6:A388),"")</f>
        <v/>
      </c>
      <c r="B389" s="104"/>
      <c r="C389" s="243"/>
      <c r="D389" s="244"/>
      <c r="E389" s="133" t="s">
        <v>53</v>
      </c>
      <c r="F389" s="135" t="s">
        <v>57</v>
      </c>
      <c r="G389" s="249"/>
      <c r="H389" s="250"/>
      <c r="I389" s="134">
        <f>ROUNDUP((I388)/32,0)</f>
        <v>512</v>
      </c>
      <c r="J389" s="255"/>
      <c r="K389" s="256"/>
      <c r="L389" s="256"/>
      <c r="M389" s="256"/>
      <c r="N389" s="257"/>
      <c r="O389" s="216"/>
    </row>
    <row r="390" spans="1:18" x14ac:dyDescent="0.15">
      <c r="A390" s="35" t="str">
        <f>IF(G390&lt;&gt;"",1+MAX($A$6:A389),"")</f>
        <v/>
      </c>
      <c r="B390" s="104"/>
      <c r="C390" s="245"/>
      <c r="D390" s="246"/>
      <c r="E390" s="133" t="s">
        <v>54</v>
      </c>
      <c r="F390" s="135" t="s">
        <v>58</v>
      </c>
      <c r="G390" s="251"/>
      <c r="H390" s="252"/>
      <c r="I390" s="134">
        <f>ROUNDUP(I389*24/500,0)</f>
        <v>25</v>
      </c>
      <c r="J390" s="258"/>
      <c r="K390" s="259"/>
      <c r="L390" s="259"/>
      <c r="M390" s="259"/>
      <c r="N390" s="260"/>
      <c r="O390" s="216"/>
    </row>
    <row r="391" spans="1:18" x14ac:dyDescent="0.15">
      <c r="A391" s="35" t="str">
        <f>IF(G391&lt;&gt;"",1+MAX($A$6:A390),"")</f>
        <v/>
      </c>
      <c r="B391" s="104"/>
      <c r="C391" s="245"/>
      <c r="D391" s="246"/>
      <c r="E391" s="133" t="s">
        <v>55</v>
      </c>
      <c r="F391" s="135" t="s">
        <v>59</v>
      </c>
      <c r="G391" s="251"/>
      <c r="H391" s="252"/>
      <c r="I391" s="134">
        <f>ROUNDUP((I388)/200,0)</f>
        <v>82</v>
      </c>
      <c r="J391" s="258"/>
      <c r="K391" s="259"/>
      <c r="L391" s="259"/>
      <c r="M391" s="259"/>
      <c r="N391" s="260"/>
      <c r="O391" s="216"/>
    </row>
    <row r="392" spans="1:18" x14ac:dyDescent="0.15">
      <c r="A392" s="35" t="str">
        <f>IF(G392&lt;&gt;"",1+MAX($A$6:A391),"")</f>
        <v/>
      </c>
      <c r="B392" s="104"/>
      <c r="C392" s="247"/>
      <c r="D392" s="248"/>
      <c r="E392" s="133" t="s">
        <v>56</v>
      </c>
      <c r="F392" s="135" t="s">
        <v>60</v>
      </c>
      <c r="G392" s="253"/>
      <c r="H392" s="254"/>
      <c r="I392" s="134">
        <f>ROUNDUP((I388)*5.25/1000,0)</f>
        <v>86</v>
      </c>
      <c r="J392" s="261"/>
      <c r="K392" s="262"/>
      <c r="L392" s="262"/>
      <c r="M392" s="262"/>
      <c r="N392" s="263"/>
      <c r="O392" s="216"/>
    </row>
    <row r="393" spans="1:18" x14ac:dyDescent="0.15">
      <c r="A393" s="35">
        <f>IF(G393&lt;&gt;"",1+MAX($A$6:A392),"")</f>
        <v>290</v>
      </c>
      <c r="B393" s="104"/>
      <c r="C393" s="15"/>
      <c r="D393" s="14"/>
      <c r="E393" s="167" t="s">
        <v>263</v>
      </c>
      <c r="F393" s="126" t="s">
        <v>31</v>
      </c>
      <c r="G393" s="126">
        <v>1280</v>
      </c>
      <c r="H393" s="8">
        <v>7.0000000000000007E-2</v>
      </c>
      <c r="I393" s="18">
        <f t="shared" si="135"/>
        <v>1369.6000000000001</v>
      </c>
      <c r="J393" s="194">
        <v>45</v>
      </c>
      <c r="K393" s="194">
        <v>27</v>
      </c>
      <c r="L393" s="219">
        <f>J393*I393</f>
        <v>61632.000000000007</v>
      </c>
      <c r="M393" s="219">
        <f>K393*I393</f>
        <v>36979.200000000004</v>
      </c>
      <c r="N393" s="20">
        <f t="shared" si="137"/>
        <v>98611.200000000012</v>
      </c>
      <c r="O393" s="216"/>
    </row>
    <row r="394" spans="1:18" s="109" customFormat="1" x14ac:dyDescent="0.15">
      <c r="A394" s="35">
        <f>IF(G394&lt;&gt;"",1+MAX($A$6:A393),"")</f>
        <v>291</v>
      </c>
      <c r="B394" s="104"/>
      <c r="C394" s="105"/>
      <c r="D394" s="120"/>
      <c r="E394" s="167" t="s">
        <v>264</v>
      </c>
      <c r="F394" s="126" t="s">
        <v>91</v>
      </c>
      <c r="G394" s="126">
        <v>1700</v>
      </c>
      <c r="H394" s="121">
        <v>7.0000000000000007E-2</v>
      </c>
      <c r="I394" s="107">
        <f t="shared" si="135"/>
        <v>1819</v>
      </c>
      <c r="J394" s="194">
        <v>5</v>
      </c>
      <c r="K394" s="194">
        <v>3</v>
      </c>
      <c r="L394" s="219">
        <f>J394*I394</f>
        <v>9095</v>
      </c>
      <c r="M394" s="219">
        <f>K394*I394</f>
        <v>5457</v>
      </c>
      <c r="N394" s="20">
        <f>L394+M394</f>
        <v>14552</v>
      </c>
      <c r="O394" s="222"/>
      <c r="P394" s="122"/>
      <c r="Q394" s="122"/>
      <c r="R394" s="122"/>
    </row>
    <row r="395" spans="1:18" x14ac:dyDescent="0.15">
      <c r="A395" s="35">
        <f>IF(G395&lt;&gt;"",1+MAX($A$6:A394),"")</f>
        <v>292</v>
      </c>
      <c r="B395" s="104"/>
      <c r="C395" s="105"/>
      <c r="D395" s="59"/>
      <c r="E395" s="167" t="s">
        <v>265</v>
      </c>
      <c r="F395" s="126" t="s">
        <v>91</v>
      </c>
      <c r="G395" s="126">
        <f>1700*2</f>
        <v>3400</v>
      </c>
      <c r="H395" s="8">
        <v>7.0000000000000007E-2</v>
      </c>
      <c r="I395" s="18">
        <f t="shared" si="135"/>
        <v>3638</v>
      </c>
      <c r="J395" s="194">
        <v>5</v>
      </c>
      <c r="K395" s="194">
        <v>3</v>
      </c>
      <c r="L395" s="219">
        <f>J395*I395</f>
        <v>18190</v>
      </c>
      <c r="M395" s="219">
        <f>K395*I395</f>
        <v>10914</v>
      </c>
      <c r="N395" s="20">
        <f t="shared" ref="N395:N397" si="138">L395+M395</f>
        <v>29104</v>
      </c>
      <c r="O395" s="216"/>
    </row>
    <row r="396" spans="1:18" x14ac:dyDescent="0.15">
      <c r="A396" s="35">
        <f>IF(G396&lt;&gt;"",1+MAX($A$6:A395),"")</f>
        <v>293</v>
      </c>
      <c r="B396" s="104" t="s">
        <v>440</v>
      </c>
      <c r="C396" s="15"/>
      <c r="D396" s="57"/>
      <c r="E396" s="184" t="s">
        <v>266</v>
      </c>
      <c r="F396" s="130" t="s">
        <v>91</v>
      </c>
      <c r="G396" s="130">
        <v>169.72</v>
      </c>
      <c r="H396" s="185"/>
      <c r="I396" s="131"/>
      <c r="J396" s="219"/>
      <c r="K396" s="219"/>
      <c r="L396" s="219"/>
      <c r="M396" s="219"/>
      <c r="N396" s="132"/>
      <c r="O396" s="216"/>
    </row>
    <row r="397" spans="1:18" x14ac:dyDescent="0.15">
      <c r="A397" s="35">
        <f>IF(G397&lt;&gt;"",1+MAX($A$6:A396),"")</f>
        <v>294</v>
      </c>
      <c r="B397" s="104"/>
      <c r="C397" s="15"/>
      <c r="D397" s="14"/>
      <c r="E397" s="167" t="s">
        <v>258</v>
      </c>
      <c r="F397" s="126" t="s">
        <v>12</v>
      </c>
      <c r="G397" s="126">
        <f>170*9</f>
        <v>1530</v>
      </c>
      <c r="H397" s="8">
        <v>7.0000000000000007E-2</v>
      </c>
      <c r="I397" s="18">
        <f t="shared" si="135"/>
        <v>1637.1000000000001</v>
      </c>
      <c r="J397" s="194">
        <v>1</v>
      </c>
      <c r="K397" s="194">
        <v>1</v>
      </c>
      <c r="L397" s="219">
        <f>J397*I397</f>
        <v>1637.1000000000001</v>
      </c>
      <c r="M397" s="219">
        <f>K397*I397</f>
        <v>1637.1000000000001</v>
      </c>
      <c r="N397" s="20">
        <f t="shared" si="138"/>
        <v>3274.2000000000003</v>
      </c>
      <c r="O397" s="216"/>
    </row>
    <row r="398" spans="1:18" s="109" customFormat="1" x14ac:dyDescent="0.15">
      <c r="A398" s="35">
        <f>IF(G398&lt;&gt;"",1+MAX($A$6:A397),"")</f>
        <v>295</v>
      </c>
      <c r="B398" s="104"/>
      <c r="C398" s="105"/>
      <c r="D398" s="120"/>
      <c r="E398" s="167" t="s">
        <v>259</v>
      </c>
      <c r="F398" s="126" t="s">
        <v>12</v>
      </c>
      <c r="G398" s="126">
        <f>170*9</f>
        <v>1530</v>
      </c>
      <c r="H398" s="121">
        <v>7.0000000000000007E-2</v>
      </c>
      <c r="I398" s="107">
        <f t="shared" si="135"/>
        <v>1637.1000000000001</v>
      </c>
      <c r="J398" s="194">
        <v>1</v>
      </c>
      <c r="K398" s="194">
        <v>1</v>
      </c>
      <c r="L398" s="219">
        <f>J398*I398</f>
        <v>1637.1000000000001</v>
      </c>
      <c r="M398" s="219">
        <f>K398*I398</f>
        <v>1637.1000000000001</v>
      </c>
      <c r="N398" s="20">
        <f>L398+M398</f>
        <v>3274.2000000000003</v>
      </c>
      <c r="O398" s="222"/>
      <c r="P398" s="122"/>
      <c r="Q398" s="122"/>
      <c r="R398" s="122"/>
    </row>
    <row r="399" spans="1:18" x14ac:dyDescent="0.15">
      <c r="A399" s="35">
        <f>IF(G399&lt;&gt;"",1+MAX($A$6:A398),"")</f>
        <v>296</v>
      </c>
      <c r="B399" s="104"/>
      <c r="C399" s="105"/>
      <c r="D399" s="59"/>
      <c r="E399" s="167" t="s">
        <v>267</v>
      </c>
      <c r="F399" s="126" t="s">
        <v>12</v>
      </c>
      <c r="G399" s="126">
        <f>170*9</f>
        <v>1530</v>
      </c>
      <c r="H399" s="8">
        <v>7.0000000000000007E-2</v>
      </c>
      <c r="I399" s="18">
        <f t="shared" si="135"/>
        <v>1637.1000000000001</v>
      </c>
      <c r="J399" s="194">
        <v>2</v>
      </c>
      <c r="K399" s="194">
        <v>2</v>
      </c>
      <c r="L399" s="219">
        <f>J399*I399</f>
        <v>3274.2000000000003</v>
      </c>
      <c r="M399" s="219">
        <f>K399*I399</f>
        <v>3274.2000000000003</v>
      </c>
      <c r="N399" s="20">
        <f t="shared" ref="N399:N407" si="139">L399+M399</f>
        <v>6548.4000000000005</v>
      </c>
      <c r="O399" s="216"/>
    </row>
    <row r="400" spans="1:18" x14ac:dyDescent="0.15">
      <c r="A400" s="35">
        <f>IF(G400&lt;&gt;"",1+MAX($A$6:A399),"")</f>
        <v>297</v>
      </c>
      <c r="B400" s="104"/>
      <c r="C400" s="15"/>
      <c r="D400" s="57"/>
      <c r="E400" s="167" t="s">
        <v>261</v>
      </c>
      <c r="F400" s="126" t="s">
        <v>12</v>
      </c>
      <c r="G400" s="126">
        <f>170*9</f>
        <v>1530</v>
      </c>
      <c r="H400" s="8">
        <v>7.0000000000000007E-2</v>
      </c>
      <c r="I400" s="18">
        <f t="shared" si="135"/>
        <v>1637.1000000000001</v>
      </c>
      <c r="J400" s="194">
        <v>5</v>
      </c>
      <c r="K400" s="194">
        <v>3</v>
      </c>
      <c r="L400" s="219">
        <f>J400*I400</f>
        <v>8185.5000000000009</v>
      </c>
      <c r="M400" s="219">
        <f>K400*I400</f>
        <v>4911.3</v>
      </c>
      <c r="N400" s="20">
        <f t="shared" si="139"/>
        <v>13096.800000000001</v>
      </c>
      <c r="O400" s="216"/>
    </row>
    <row r="401" spans="1:18" x14ac:dyDescent="0.15">
      <c r="A401" s="35">
        <f>IF(G401&lt;&gt;"",1+MAX($A$6:A400),"")</f>
        <v>298</v>
      </c>
      <c r="B401" s="104"/>
      <c r="C401" s="105"/>
      <c r="D401" s="59"/>
      <c r="E401" s="167" t="s">
        <v>262</v>
      </c>
      <c r="F401" s="126" t="s">
        <v>12</v>
      </c>
      <c r="G401" s="126">
        <f>170*9</f>
        <v>1530</v>
      </c>
      <c r="H401" s="8">
        <v>7.0000000000000007E-2</v>
      </c>
      <c r="I401" s="18">
        <f t="shared" ref="I401:I426" si="140">G401*(1+H401)</f>
        <v>1637.1000000000001</v>
      </c>
      <c r="J401" s="194">
        <v>2</v>
      </c>
      <c r="K401" s="194">
        <v>2</v>
      </c>
      <c r="L401" s="219">
        <f>J401*I401</f>
        <v>3274.2000000000003</v>
      </c>
      <c r="M401" s="219">
        <f>K401*I401</f>
        <v>3274.2000000000003</v>
      </c>
      <c r="N401" s="20">
        <f t="shared" si="139"/>
        <v>6548.4000000000005</v>
      </c>
      <c r="O401" s="216"/>
    </row>
    <row r="402" spans="1:18" x14ac:dyDescent="0.15">
      <c r="A402" s="35" t="str">
        <f>IF(G402&lt;&gt;"",1+MAX($A$6:A401),"")</f>
        <v/>
      </c>
      <c r="B402" s="104"/>
      <c r="C402" s="243"/>
      <c r="D402" s="244"/>
      <c r="E402" s="133" t="s">
        <v>53</v>
      </c>
      <c r="F402" s="135" t="s">
        <v>57</v>
      </c>
      <c r="G402" s="249"/>
      <c r="H402" s="250"/>
      <c r="I402" s="134">
        <f>ROUNDUP((I401)/32,0)</f>
        <v>52</v>
      </c>
      <c r="J402" s="255"/>
      <c r="K402" s="256"/>
      <c r="L402" s="256"/>
      <c r="M402" s="256"/>
      <c r="N402" s="257"/>
      <c r="O402" s="216"/>
    </row>
    <row r="403" spans="1:18" x14ac:dyDescent="0.15">
      <c r="A403" s="35" t="str">
        <f>IF(G403&lt;&gt;"",1+MAX($A$6:A402),"")</f>
        <v/>
      </c>
      <c r="B403" s="104"/>
      <c r="C403" s="245"/>
      <c r="D403" s="246"/>
      <c r="E403" s="133" t="s">
        <v>54</v>
      </c>
      <c r="F403" s="135" t="s">
        <v>58</v>
      </c>
      <c r="G403" s="251"/>
      <c r="H403" s="252"/>
      <c r="I403" s="134">
        <f>ROUNDUP(I402*24/500,0)</f>
        <v>3</v>
      </c>
      <c r="J403" s="258"/>
      <c r="K403" s="259"/>
      <c r="L403" s="259"/>
      <c r="M403" s="259"/>
      <c r="N403" s="260"/>
      <c r="O403" s="216"/>
    </row>
    <row r="404" spans="1:18" x14ac:dyDescent="0.15">
      <c r="A404" s="35" t="str">
        <f>IF(G404&lt;&gt;"",1+MAX($A$6:A403),"")</f>
        <v/>
      </c>
      <c r="B404" s="104"/>
      <c r="C404" s="245"/>
      <c r="D404" s="246"/>
      <c r="E404" s="133" t="s">
        <v>55</v>
      </c>
      <c r="F404" s="135" t="s">
        <v>59</v>
      </c>
      <c r="G404" s="251"/>
      <c r="H404" s="252"/>
      <c r="I404" s="134">
        <f>ROUNDUP((I401)/200,0)</f>
        <v>9</v>
      </c>
      <c r="J404" s="258"/>
      <c r="K404" s="259"/>
      <c r="L404" s="259"/>
      <c r="M404" s="259"/>
      <c r="N404" s="260"/>
      <c r="O404" s="216"/>
    </row>
    <row r="405" spans="1:18" x14ac:dyDescent="0.15">
      <c r="A405" s="35" t="str">
        <f>IF(G405&lt;&gt;"",1+MAX($A$6:A404),"")</f>
        <v/>
      </c>
      <c r="B405" s="104"/>
      <c r="C405" s="247"/>
      <c r="D405" s="248"/>
      <c r="E405" s="133" t="s">
        <v>56</v>
      </c>
      <c r="F405" s="135" t="s">
        <v>60</v>
      </c>
      <c r="G405" s="253"/>
      <c r="H405" s="254"/>
      <c r="I405" s="134">
        <f>ROUNDUP((I401)*5.25/1000,0)</f>
        <v>9</v>
      </c>
      <c r="J405" s="261"/>
      <c r="K405" s="262"/>
      <c r="L405" s="262"/>
      <c r="M405" s="262"/>
      <c r="N405" s="263"/>
      <c r="O405" s="216"/>
    </row>
    <row r="406" spans="1:18" x14ac:dyDescent="0.15">
      <c r="A406" s="35">
        <f>IF(G406&lt;&gt;"",1+MAX($A$6:A405),"")</f>
        <v>299</v>
      </c>
      <c r="B406" s="104"/>
      <c r="C406" s="15"/>
      <c r="D406" s="57"/>
      <c r="E406" s="167" t="s">
        <v>263</v>
      </c>
      <c r="F406" s="126" t="s">
        <v>31</v>
      </c>
      <c r="G406" s="126">
        <v>128</v>
      </c>
      <c r="H406" s="8">
        <v>7.0000000000000007E-2</v>
      </c>
      <c r="I406" s="18">
        <f t="shared" si="140"/>
        <v>136.96</v>
      </c>
      <c r="J406" s="194">
        <v>45</v>
      </c>
      <c r="K406" s="194">
        <v>27</v>
      </c>
      <c r="L406" s="219">
        <f>J406*I406</f>
        <v>6163.2000000000007</v>
      </c>
      <c r="M406" s="219">
        <f>K406*I406</f>
        <v>3697.92</v>
      </c>
      <c r="N406" s="20">
        <f t="shared" si="139"/>
        <v>9861.1200000000008</v>
      </c>
      <c r="O406" s="216"/>
    </row>
    <row r="407" spans="1:18" x14ac:dyDescent="0.15">
      <c r="A407" s="35">
        <f>IF(G407&lt;&gt;"",1+MAX($A$6:A406),"")</f>
        <v>300</v>
      </c>
      <c r="B407" s="104"/>
      <c r="C407" s="15"/>
      <c r="D407" s="14"/>
      <c r="E407" s="167" t="s">
        <v>264</v>
      </c>
      <c r="F407" s="126" t="s">
        <v>91</v>
      </c>
      <c r="G407" s="126">
        <v>170</v>
      </c>
      <c r="H407" s="8">
        <v>7.0000000000000007E-2</v>
      </c>
      <c r="I407" s="18">
        <f t="shared" si="140"/>
        <v>181.9</v>
      </c>
      <c r="J407" s="194">
        <v>5</v>
      </c>
      <c r="K407" s="194">
        <v>3</v>
      </c>
      <c r="L407" s="219">
        <f>J407*I407</f>
        <v>909.5</v>
      </c>
      <c r="M407" s="219">
        <f>K407*I407</f>
        <v>545.70000000000005</v>
      </c>
      <c r="N407" s="20">
        <f t="shared" si="139"/>
        <v>1455.2</v>
      </c>
      <c r="O407" s="216"/>
    </row>
    <row r="408" spans="1:18" s="109" customFormat="1" x14ac:dyDescent="0.15">
      <c r="A408" s="35">
        <f>IF(G408&lt;&gt;"",1+MAX($A$6:A407),"")</f>
        <v>301</v>
      </c>
      <c r="B408" s="104"/>
      <c r="C408" s="105"/>
      <c r="D408" s="120"/>
      <c r="E408" s="167" t="s">
        <v>265</v>
      </c>
      <c r="F408" s="126" t="s">
        <v>91</v>
      </c>
      <c r="G408" s="126">
        <f>170*2</f>
        <v>340</v>
      </c>
      <c r="H408" s="121">
        <v>7.0000000000000007E-2</v>
      </c>
      <c r="I408" s="107">
        <f t="shared" si="140"/>
        <v>363.8</v>
      </c>
      <c r="J408" s="194">
        <v>5</v>
      </c>
      <c r="K408" s="194">
        <v>3</v>
      </c>
      <c r="L408" s="219">
        <f>J408*I408</f>
        <v>1819</v>
      </c>
      <c r="M408" s="219">
        <f>K408*I408</f>
        <v>1091.4000000000001</v>
      </c>
      <c r="N408" s="20">
        <f>L408+M408</f>
        <v>2910.4</v>
      </c>
      <c r="O408" s="222"/>
      <c r="P408" s="122"/>
      <c r="Q408" s="122"/>
      <c r="R408" s="122"/>
    </row>
    <row r="409" spans="1:18" x14ac:dyDescent="0.15">
      <c r="A409" s="35">
        <f>IF(G409&lt;&gt;"",1+MAX($A$6:A408),"")</f>
        <v>302</v>
      </c>
      <c r="B409" s="104" t="s">
        <v>440</v>
      </c>
      <c r="C409" s="105"/>
      <c r="D409" s="59"/>
      <c r="E409" s="184" t="s">
        <v>268</v>
      </c>
      <c r="F409" s="130" t="s">
        <v>91</v>
      </c>
      <c r="G409" s="130">
        <v>359.61</v>
      </c>
      <c r="H409" s="185"/>
      <c r="I409" s="131"/>
      <c r="J409" s="219"/>
      <c r="K409" s="219"/>
      <c r="L409" s="219"/>
      <c r="M409" s="219"/>
      <c r="N409" s="132"/>
      <c r="O409" s="216"/>
    </row>
    <row r="410" spans="1:18" x14ac:dyDescent="0.15">
      <c r="A410" s="35">
        <f>IF(G410&lt;&gt;"",1+MAX($A$6:A409),"")</f>
        <v>303</v>
      </c>
      <c r="B410" s="104"/>
      <c r="C410" s="15"/>
      <c r="D410" s="57"/>
      <c r="E410" s="167" t="s">
        <v>269</v>
      </c>
      <c r="F410" s="126" t="s">
        <v>12</v>
      </c>
      <c r="G410" s="126">
        <f>360*9*2</f>
        <v>6480</v>
      </c>
      <c r="H410" s="8">
        <v>7.0000000000000007E-2</v>
      </c>
      <c r="I410" s="18">
        <f t="shared" si="140"/>
        <v>6933.6</v>
      </c>
      <c r="J410" s="194">
        <v>2</v>
      </c>
      <c r="K410" s="194">
        <v>2</v>
      </c>
      <c r="L410" s="219">
        <f>J410*I410</f>
        <v>13867.2</v>
      </c>
      <c r="M410" s="219">
        <f>K410*I410</f>
        <v>13867.2</v>
      </c>
      <c r="N410" s="20">
        <f t="shared" ref="N410:N415" si="141">L410+M410</f>
        <v>27734.400000000001</v>
      </c>
      <c r="O410" s="216"/>
    </row>
    <row r="411" spans="1:18" x14ac:dyDescent="0.15">
      <c r="A411" s="35" t="str">
        <f>IF(G411&lt;&gt;"",1+MAX($A$6:A410),"")</f>
        <v/>
      </c>
      <c r="B411" s="104"/>
      <c r="C411" s="243"/>
      <c r="D411" s="244"/>
      <c r="E411" s="133" t="s">
        <v>53</v>
      </c>
      <c r="F411" s="135" t="s">
        <v>57</v>
      </c>
      <c r="G411" s="249"/>
      <c r="H411" s="250"/>
      <c r="I411" s="134">
        <f>ROUNDUP((I410)/32,0)</f>
        <v>217</v>
      </c>
      <c r="J411" s="255"/>
      <c r="K411" s="256"/>
      <c r="L411" s="256"/>
      <c r="M411" s="256"/>
      <c r="N411" s="257"/>
      <c r="O411" s="216"/>
    </row>
    <row r="412" spans="1:18" x14ac:dyDescent="0.15">
      <c r="A412" s="35" t="str">
        <f>IF(G412&lt;&gt;"",1+MAX($A$6:A411),"")</f>
        <v/>
      </c>
      <c r="B412" s="104"/>
      <c r="C412" s="245"/>
      <c r="D412" s="246"/>
      <c r="E412" s="133" t="s">
        <v>54</v>
      </c>
      <c r="F412" s="135" t="s">
        <v>58</v>
      </c>
      <c r="G412" s="251"/>
      <c r="H412" s="252"/>
      <c r="I412" s="134">
        <f>ROUNDUP(I411*24/500,0)</f>
        <v>11</v>
      </c>
      <c r="J412" s="258"/>
      <c r="K412" s="259"/>
      <c r="L412" s="259"/>
      <c r="M412" s="259"/>
      <c r="N412" s="260"/>
      <c r="O412" s="216"/>
    </row>
    <row r="413" spans="1:18" x14ac:dyDescent="0.15">
      <c r="A413" s="35" t="str">
        <f>IF(G413&lt;&gt;"",1+MAX($A$6:A412),"")</f>
        <v/>
      </c>
      <c r="B413" s="104"/>
      <c r="C413" s="245"/>
      <c r="D413" s="246"/>
      <c r="E413" s="133" t="s">
        <v>55</v>
      </c>
      <c r="F413" s="135" t="s">
        <v>59</v>
      </c>
      <c r="G413" s="251"/>
      <c r="H413" s="252"/>
      <c r="I413" s="134">
        <f>ROUNDUP((I410)/200,0)</f>
        <v>35</v>
      </c>
      <c r="J413" s="258"/>
      <c r="K413" s="259"/>
      <c r="L413" s="259"/>
      <c r="M413" s="259"/>
      <c r="N413" s="260"/>
      <c r="O413" s="216"/>
    </row>
    <row r="414" spans="1:18" x14ac:dyDescent="0.15">
      <c r="A414" s="35" t="str">
        <f>IF(G414&lt;&gt;"",1+MAX($A$6:A413),"")</f>
        <v/>
      </c>
      <c r="B414" s="104"/>
      <c r="C414" s="247"/>
      <c r="D414" s="248"/>
      <c r="E414" s="133" t="s">
        <v>56</v>
      </c>
      <c r="F414" s="135" t="s">
        <v>60</v>
      </c>
      <c r="G414" s="253"/>
      <c r="H414" s="254"/>
      <c r="I414" s="134">
        <f>ROUNDUP((I410)*5.25/1000,0)</f>
        <v>37</v>
      </c>
      <c r="J414" s="261"/>
      <c r="K414" s="262"/>
      <c r="L414" s="262"/>
      <c r="M414" s="262"/>
      <c r="N414" s="263"/>
      <c r="O414" s="216"/>
    </row>
    <row r="415" spans="1:18" x14ac:dyDescent="0.15">
      <c r="A415" s="35">
        <f>IF(G415&lt;&gt;"",1+MAX($A$6:A414),"")</f>
        <v>304</v>
      </c>
      <c r="B415" s="104"/>
      <c r="C415" s="15"/>
      <c r="D415" s="14"/>
      <c r="E415" s="167" t="s">
        <v>270</v>
      </c>
      <c r="F415" s="126" t="s">
        <v>12</v>
      </c>
      <c r="G415" s="126">
        <f>360*9</f>
        <v>3240</v>
      </c>
      <c r="H415" s="8">
        <v>7.0000000000000007E-2</v>
      </c>
      <c r="I415" s="18">
        <f t="shared" si="140"/>
        <v>3466.8</v>
      </c>
      <c r="J415" s="194">
        <v>1</v>
      </c>
      <c r="K415" s="194">
        <v>1</v>
      </c>
      <c r="L415" s="219">
        <f>J415*I415</f>
        <v>3466.8</v>
      </c>
      <c r="M415" s="219">
        <f>K415*I415</f>
        <v>3466.8</v>
      </c>
      <c r="N415" s="20">
        <f t="shared" si="141"/>
        <v>6933.6</v>
      </c>
      <c r="O415" s="216"/>
    </row>
    <row r="416" spans="1:18" s="109" customFormat="1" x14ac:dyDescent="0.15">
      <c r="A416" s="35">
        <f>IF(G416&lt;&gt;"",1+MAX($A$6:A415),"")</f>
        <v>305</v>
      </c>
      <c r="B416" s="104"/>
      <c r="C416" s="105"/>
      <c r="D416" s="120"/>
      <c r="E416" s="167" t="s">
        <v>263</v>
      </c>
      <c r="F416" s="126" t="s">
        <v>31</v>
      </c>
      <c r="G416" s="126">
        <v>271</v>
      </c>
      <c r="H416" s="121">
        <v>7.0000000000000007E-2</v>
      </c>
      <c r="I416" s="107">
        <f t="shared" si="140"/>
        <v>289.97000000000003</v>
      </c>
      <c r="J416" s="194">
        <v>45</v>
      </c>
      <c r="K416" s="194">
        <v>27</v>
      </c>
      <c r="L416" s="219">
        <f>J416*I416</f>
        <v>13048.650000000001</v>
      </c>
      <c r="M416" s="219">
        <f>K416*I416</f>
        <v>7829.1900000000005</v>
      </c>
      <c r="N416" s="20">
        <f>L416+M416</f>
        <v>20877.840000000004</v>
      </c>
      <c r="O416" s="222"/>
      <c r="P416" s="122"/>
      <c r="Q416" s="122"/>
      <c r="R416" s="122"/>
    </row>
    <row r="417" spans="1:18" x14ac:dyDescent="0.15">
      <c r="A417" s="35">
        <f>IF(G417&lt;&gt;"",1+MAX($A$6:A416),"")</f>
        <v>306</v>
      </c>
      <c r="B417" s="104"/>
      <c r="C417" s="105"/>
      <c r="D417" s="59"/>
      <c r="E417" s="167" t="s">
        <v>271</v>
      </c>
      <c r="F417" s="126" t="s">
        <v>91</v>
      </c>
      <c r="G417" s="126">
        <f>360*2</f>
        <v>720</v>
      </c>
      <c r="H417" s="8">
        <v>7.0000000000000007E-2</v>
      </c>
      <c r="I417" s="18">
        <f t="shared" si="140"/>
        <v>770.40000000000009</v>
      </c>
      <c r="J417" s="194">
        <v>5</v>
      </c>
      <c r="K417" s="194">
        <v>3</v>
      </c>
      <c r="L417" s="219">
        <f>J417*I417</f>
        <v>3852.0000000000005</v>
      </c>
      <c r="M417" s="219">
        <f>K417*I417</f>
        <v>2311.2000000000003</v>
      </c>
      <c r="N417" s="20">
        <f t="shared" ref="N417:N419" si="142">L417+M417</f>
        <v>6163.2000000000007</v>
      </c>
      <c r="O417" s="216"/>
    </row>
    <row r="418" spans="1:18" x14ac:dyDescent="0.15">
      <c r="A418" s="35">
        <f>IF(G418&lt;&gt;"",1+MAX($A$6:A417),"")</f>
        <v>307</v>
      </c>
      <c r="B418" s="104"/>
      <c r="C418" s="15"/>
      <c r="D418" s="57"/>
      <c r="E418" s="167" t="s">
        <v>272</v>
      </c>
      <c r="F418" s="126" t="s">
        <v>91</v>
      </c>
      <c r="G418" s="126">
        <f>360*2</f>
        <v>720</v>
      </c>
      <c r="H418" s="8">
        <v>7.0000000000000007E-2</v>
      </c>
      <c r="I418" s="18">
        <f t="shared" si="140"/>
        <v>770.40000000000009</v>
      </c>
      <c r="J418" s="194">
        <v>1</v>
      </c>
      <c r="K418" s="194">
        <v>1</v>
      </c>
      <c r="L418" s="219">
        <f>J418*I418</f>
        <v>770.40000000000009</v>
      </c>
      <c r="M418" s="219">
        <f>K418*I418</f>
        <v>770.40000000000009</v>
      </c>
      <c r="N418" s="20">
        <f t="shared" si="142"/>
        <v>1540.8000000000002</v>
      </c>
      <c r="O418" s="216"/>
    </row>
    <row r="419" spans="1:18" x14ac:dyDescent="0.15">
      <c r="A419" s="35">
        <f>IF(G419&lt;&gt;"",1+MAX($A$6:A418),"")</f>
        <v>308</v>
      </c>
      <c r="B419" s="104"/>
      <c r="C419" s="15"/>
      <c r="D419" s="14"/>
      <c r="E419" s="167" t="s">
        <v>273</v>
      </c>
      <c r="F419" s="126" t="s">
        <v>91</v>
      </c>
      <c r="G419" s="126">
        <f>360*2</f>
        <v>720</v>
      </c>
      <c r="H419" s="8">
        <v>7.0000000000000007E-2</v>
      </c>
      <c r="I419" s="18">
        <f t="shared" si="140"/>
        <v>770.40000000000009</v>
      </c>
      <c r="J419" s="194">
        <v>1</v>
      </c>
      <c r="K419" s="194">
        <v>1</v>
      </c>
      <c r="L419" s="219">
        <f>J419*I419</f>
        <v>770.40000000000009</v>
      </c>
      <c r="M419" s="219">
        <f>K419*I419</f>
        <v>770.40000000000009</v>
      </c>
      <c r="N419" s="20">
        <f t="shared" si="142"/>
        <v>1540.8000000000002</v>
      </c>
      <c r="O419" s="216"/>
    </row>
    <row r="420" spans="1:18" s="109" customFormat="1" x14ac:dyDescent="0.15">
      <c r="A420" s="35">
        <f>IF(G420&lt;&gt;"",1+MAX($A$6:A419),"")</f>
        <v>309</v>
      </c>
      <c r="B420" s="104" t="s">
        <v>440</v>
      </c>
      <c r="C420" s="105"/>
      <c r="D420" s="120"/>
      <c r="E420" s="184" t="s">
        <v>274</v>
      </c>
      <c r="F420" s="130" t="s">
        <v>91</v>
      </c>
      <c r="G420" s="130">
        <v>468.35</v>
      </c>
      <c r="H420" s="188"/>
      <c r="I420" s="189"/>
      <c r="J420" s="219"/>
      <c r="K420" s="219"/>
      <c r="L420" s="219"/>
      <c r="M420" s="219"/>
      <c r="N420" s="132"/>
      <c r="O420" s="222"/>
      <c r="P420" s="122"/>
      <c r="Q420" s="122"/>
      <c r="R420" s="122"/>
    </row>
    <row r="421" spans="1:18" x14ac:dyDescent="0.15">
      <c r="A421" s="35">
        <f>IF(G421&lt;&gt;"",1+MAX($A$6:A420),"")</f>
        <v>310</v>
      </c>
      <c r="B421" s="104"/>
      <c r="C421" s="105"/>
      <c r="D421" s="59"/>
      <c r="E421" s="167" t="s">
        <v>269</v>
      </c>
      <c r="F421" s="126" t="s">
        <v>12</v>
      </c>
      <c r="G421" s="126">
        <f>470*9*2</f>
        <v>8460</v>
      </c>
      <c r="H421" s="8">
        <v>7.0000000000000007E-2</v>
      </c>
      <c r="I421" s="18">
        <f t="shared" si="140"/>
        <v>9052.2000000000007</v>
      </c>
      <c r="J421" s="194">
        <v>2</v>
      </c>
      <c r="K421" s="194">
        <v>2</v>
      </c>
      <c r="L421" s="219">
        <f>J421*I421</f>
        <v>18104.400000000001</v>
      </c>
      <c r="M421" s="219">
        <f>K421*I421</f>
        <v>18104.400000000001</v>
      </c>
      <c r="N421" s="20">
        <f t="shared" ref="N421:N429" si="143">L421+M421</f>
        <v>36208.800000000003</v>
      </c>
      <c r="O421" s="216"/>
    </row>
    <row r="422" spans="1:18" x14ac:dyDescent="0.15">
      <c r="A422" s="35" t="str">
        <f>IF(G422&lt;&gt;"",1+MAX($A$6:A421),"")</f>
        <v/>
      </c>
      <c r="B422" s="104"/>
      <c r="C422" s="243"/>
      <c r="D422" s="244"/>
      <c r="E422" s="133" t="s">
        <v>53</v>
      </c>
      <c r="F422" s="135" t="s">
        <v>57</v>
      </c>
      <c r="G422" s="249"/>
      <c r="H422" s="250"/>
      <c r="I422" s="134">
        <f>ROUNDUP((I421)/32,0)</f>
        <v>283</v>
      </c>
      <c r="J422" s="255"/>
      <c r="K422" s="256"/>
      <c r="L422" s="256"/>
      <c r="M422" s="256"/>
      <c r="N422" s="257"/>
      <c r="O422" s="216"/>
    </row>
    <row r="423" spans="1:18" x14ac:dyDescent="0.15">
      <c r="A423" s="35" t="str">
        <f>IF(G423&lt;&gt;"",1+MAX($A$6:A422),"")</f>
        <v/>
      </c>
      <c r="B423" s="104"/>
      <c r="C423" s="245"/>
      <c r="D423" s="246"/>
      <c r="E423" s="133" t="s">
        <v>54</v>
      </c>
      <c r="F423" s="135" t="s">
        <v>58</v>
      </c>
      <c r="G423" s="251"/>
      <c r="H423" s="252"/>
      <c r="I423" s="134">
        <f>ROUNDUP(I422*24/500,0)</f>
        <v>14</v>
      </c>
      <c r="J423" s="258"/>
      <c r="K423" s="259"/>
      <c r="L423" s="259"/>
      <c r="M423" s="259"/>
      <c r="N423" s="260"/>
      <c r="O423" s="216"/>
    </row>
    <row r="424" spans="1:18" x14ac:dyDescent="0.15">
      <c r="A424" s="35" t="str">
        <f>IF(G424&lt;&gt;"",1+MAX($A$6:A423),"")</f>
        <v/>
      </c>
      <c r="B424" s="104"/>
      <c r="C424" s="245"/>
      <c r="D424" s="246"/>
      <c r="E424" s="133" t="s">
        <v>55</v>
      </c>
      <c r="F424" s="135" t="s">
        <v>59</v>
      </c>
      <c r="G424" s="251"/>
      <c r="H424" s="252"/>
      <c r="I424" s="134">
        <f>ROUNDUP((I421)/200,0)</f>
        <v>46</v>
      </c>
      <c r="J424" s="258"/>
      <c r="K424" s="259"/>
      <c r="L424" s="259"/>
      <c r="M424" s="259"/>
      <c r="N424" s="260"/>
      <c r="O424" s="216"/>
    </row>
    <row r="425" spans="1:18" x14ac:dyDescent="0.15">
      <c r="A425" s="35" t="str">
        <f>IF(G425&lt;&gt;"",1+MAX($A$6:A424),"")</f>
        <v/>
      </c>
      <c r="B425" s="104"/>
      <c r="C425" s="247"/>
      <c r="D425" s="248"/>
      <c r="E425" s="133" t="s">
        <v>56</v>
      </c>
      <c r="F425" s="135" t="s">
        <v>60</v>
      </c>
      <c r="G425" s="253"/>
      <c r="H425" s="254"/>
      <c r="I425" s="134">
        <f>ROUNDUP((I421)*5.25/1000,0)</f>
        <v>48</v>
      </c>
      <c r="J425" s="261"/>
      <c r="K425" s="262"/>
      <c r="L425" s="262"/>
      <c r="M425" s="262"/>
      <c r="N425" s="263"/>
      <c r="O425" s="216"/>
    </row>
    <row r="426" spans="1:18" x14ac:dyDescent="0.15">
      <c r="A426" s="35">
        <f>IF(G426&lt;&gt;"",1+MAX($A$6:A425),"")</f>
        <v>311</v>
      </c>
      <c r="B426" s="104"/>
      <c r="C426" s="15"/>
      <c r="D426" s="57"/>
      <c r="E426" s="167" t="s">
        <v>270</v>
      </c>
      <c r="F426" s="126" t="s">
        <v>12</v>
      </c>
      <c r="G426" s="126">
        <f>470*9</f>
        <v>4230</v>
      </c>
      <c r="H426" s="8">
        <v>7.0000000000000007E-2</v>
      </c>
      <c r="I426" s="18">
        <f t="shared" si="140"/>
        <v>4526.1000000000004</v>
      </c>
      <c r="J426" s="194">
        <v>1</v>
      </c>
      <c r="K426" s="194">
        <v>1</v>
      </c>
      <c r="L426" s="219">
        <f t="shared" ref="L426:L431" si="144">J426*I426</f>
        <v>4526.1000000000004</v>
      </c>
      <c r="M426" s="219">
        <f t="shared" ref="M426:M431" si="145">K426*I426</f>
        <v>4526.1000000000004</v>
      </c>
      <c r="N426" s="20">
        <f t="shared" si="143"/>
        <v>9052.2000000000007</v>
      </c>
      <c r="O426" s="216"/>
    </row>
    <row r="427" spans="1:18" x14ac:dyDescent="0.15">
      <c r="A427" s="35">
        <f>IF(G427&lt;&gt;"",1+MAX($A$6:A426),"")</f>
        <v>312</v>
      </c>
      <c r="B427" s="104"/>
      <c r="C427" s="105"/>
      <c r="D427" s="59"/>
      <c r="E427" s="167" t="s">
        <v>275</v>
      </c>
      <c r="F427" s="126" t="s">
        <v>31</v>
      </c>
      <c r="G427" s="126">
        <v>354</v>
      </c>
      <c r="H427" s="8">
        <v>7.0000000000000007E-2</v>
      </c>
      <c r="I427" s="18">
        <f t="shared" ref="I427:I488" si="146">G427*(1+H427)</f>
        <v>378.78000000000003</v>
      </c>
      <c r="J427" s="194">
        <v>36</v>
      </c>
      <c r="K427" s="194">
        <v>18</v>
      </c>
      <c r="L427" s="219">
        <f t="shared" si="144"/>
        <v>13636.080000000002</v>
      </c>
      <c r="M427" s="219">
        <f t="shared" si="145"/>
        <v>6818.0400000000009</v>
      </c>
      <c r="N427" s="20">
        <f t="shared" si="143"/>
        <v>20454.120000000003</v>
      </c>
      <c r="O427" s="216"/>
    </row>
    <row r="428" spans="1:18" x14ac:dyDescent="0.15">
      <c r="A428" s="35">
        <f>IF(G428&lt;&gt;"",1+MAX($A$6:A427),"")</f>
        <v>313</v>
      </c>
      <c r="B428" s="104"/>
      <c r="C428" s="15"/>
      <c r="D428" s="57"/>
      <c r="E428" s="167" t="s">
        <v>276</v>
      </c>
      <c r="F428" s="126" t="s">
        <v>91</v>
      </c>
      <c r="G428" s="126">
        <v>370</v>
      </c>
      <c r="H428" s="8">
        <v>7.0000000000000007E-2</v>
      </c>
      <c r="I428" s="18">
        <f t="shared" si="146"/>
        <v>395.90000000000003</v>
      </c>
      <c r="J428" s="194">
        <v>4</v>
      </c>
      <c r="K428" s="194">
        <v>2</v>
      </c>
      <c r="L428" s="219">
        <f t="shared" si="144"/>
        <v>1583.6000000000001</v>
      </c>
      <c r="M428" s="219">
        <f t="shared" si="145"/>
        <v>791.80000000000007</v>
      </c>
      <c r="N428" s="20">
        <f t="shared" si="143"/>
        <v>2375.4</v>
      </c>
      <c r="O428" s="216"/>
    </row>
    <row r="429" spans="1:18" x14ac:dyDescent="0.15">
      <c r="A429" s="35">
        <f>IF(G429&lt;&gt;"",1+MAX($A$6:A428),"")</f>
        <v>314</v>
      </c>
      <c r="B429" s="104"/>
      <c r="C429" s="15"/>
      <c r="D429" s="14"/>
      <c r="E429" s="167" t="s">
        <v>277</v>
      </c>
      <c r="F429" s="126" t="s">
        <v>91</v>
      </c>
      <c r="G429" s="126">
        <f>370*2</f>
        <v>740</v>
      </c>
      <c r="H429" s="8">
        <v>7.0000000000000007E-2</v>
      </c>
      <c r="I429" s="18">
        <f t="shared" si="146"/>
        <v>791.80000000000007</v>
      </c>
      <c r="J429" s="194">
        <v>4</v>
      </c>
      <c r="K429" s="194">
        <v>2</v>
      </c>
      <c r="L429" s="219">
        <f t="shared" si="144"/>
        <v>3167.2000000000003</v>
      </c>
      <c r="M429" s="219">
        <f t="shared" si="145"/>
        <v>1583.6000000000001</v>
      </c>
      <c r="N429" s="20">
        <f t="shared" si="143"/>
        <v>4750.8</v>
      </c>
      <c r="O429" s="216"/>
    </row>
    <row r="430" spans="1:18" s="109" customFormat="1" x14ac:dyDescent="0.15">
      <c r="A430" s="35">
        <f>IF(G430&lt;&gt;"",1+MAX($A$6:A429),"")</f>
        <v>315</v>
      </c>
      <c r="B430" s="104"/>
      <c r="C430" s="105"/>
      <c r="D430" s="120"/>
      <c r="E430" s="167" t="s">
        <v>272</v>
      </c>
      <c r="F430" s="126" t="s">
        <v>91</v>
      </c>
      <c r="G430" s="126">
        <f>370*2</f>
        <v>740</v>
      </c>
      <c r="H430" s="121">
        <v>7.0000000000000007E-2</v>
      </c>
      <c r="I430" s="107">
        <f t="shared" si="146"/>
        <v>791.80000000000007</v>
      </c>
      <c r="J430" s="194">
        <v>1</v>
      </c>
      <c r="K430" s="194">
        <v>1</v>
      </c>
      <c r="L430" s="219">
        <f t="shared" si="144"/>
        <v>791.80000000000007</v>
      </c>
      <c r="M430" s="219">
        <f t="shared" si="145"/>
        <v>791.80000000000007</v>
      </c>
      <c r="N430" s="20">
        <f>L430+M430</f>
        <v>1583.6000000000001</v>
      </c>
      <c r="O430" s="222"/>
      <c r="P430" s="122"/>
      <c r="Q430" s="122"/>
      <c r="R430" s="122"/>
    </row>
    <row r="431" spans="1:18" x14ac:dyDescent="0.15">
      <c r="A431" s="35">
        <f>IF(G431&lt;&gt;"",1+MAX($A$6:A430),"")</f>
        <v>316</v>
      </c>
      <c r="B431" s="104"/>
      <c r="C431" s="105"/>
      <c r="D431" s="59"/>
      <c r="E431" s="167" t="s">
        <v>273</v>
      </c>
      <c r="F431" s="126" t="s">
        <v>91</v>
      </c>
      <c r="G431" s="126">
        <f>370*2</f>
        <v>740</v>
      </c>
      <c r="H431" s="8">
        <v>7.0000000000000007E-2</v>
      </c>
      <c r="I431" s="18">
        <f t="shared" si="146"/>
        <v>791.80000000000007</v>
      </c>
      <c r="J431" s="194">
        <v>1</v>
      </c>
      <c r="K431" s="194">
        <v>1</v>
      </c>
      <c r="L431" s="219">
        <f t="shared" si="144"/>
        <v>791.80000000000007</v>
      </c>
      <c r="M431" s="219">
        <f t="shared" si="145"/>
        <v>791.80000000000007</v>
      </c>
      <c r="N431" s="20">
        <f t="shared" ref="N431:N433" si="147">L431+M431</f>
        <v>1583.6000000000001</v>
      </c>
      <c r="O431" s="216"/>
    </row>
    <row r="432" spans="1:18" x14ac:dyDescent="0.15">
      <c r="A432" s="35">
        <f>IF(G432&lt;&gt;"",1+MAX($A$6:A431),"")</f>
        <v>317</v>
      </c>
      <c r="B432" s="104" t="s">
        <v>440</v>
      </c>
      <c r="C432" s="15"/>
      <c r="D432" s="57"/>
      <c r="E432" s="184" t="s">
        <v>278</v>
      </c>
      <c r="F432" s="130" t="s">
        <v>91</v>
      </c>
      <c r="G432" s="130">
        <v>2171</v>
      </c>
      <c r="H432" s="185"/>
      <c r="I432" s="131"/>
      <c r="J432" s="219"/>
      <c r="K432" s="219"/>
      <c r="L432" s="219"/>
      <c r="M432" s="219"/>
      <c r="N432" s="132"/>
      <c r="O432" s="216"/>
    </row>
    <row r="433" spans="1:18" x14ac:dyDescent="0.15">
      <c r="A433" s="35">
        <f>IF(G433&lt;&gt;"",1+MAX($A$6:A432),"")</f>
        <v>318</v>
      </c>
      <c r="B433" s="104"/>
      <c r="C433" s="15"/>
      <c r="D433" s="14"/>
      <c r="E433" s="167" t="s">
        <v>269</v>
      </c>
      <c r="F433" s="126" t="s">
        <v>12</v>
      </c>
      <c r="G433" s="126">
        <f>2171*9*2</f>
        <v>39078</v>
      </c>
      <c r="H433" s="8">
        <v>7.0000000000000007E-2</v>
      </c>
      <c r="I433" s="18">
        <f t="shared" si="146"/>
        <v>41813.46</v>
      </c>
      <c r="J433" s="194">
        <v>2</v>
      </c>
      <c r="K433" s="194">
        <v>2</v>
      </c>
      <c r="L433" s="219">
        <f>J433*I433</f>
        <v>83626.92</v>
      </c>
      <c r="M433" s="219">
        <f>K433*I433</f>
        <v>83626.92</v>
      </c>
      <c r="N433" s="20">
        <f t="shared" si="147"/>
        <v>167253.84</v>
      </c>
      <c r="O433" s="216"/>
    </row>
    <row r="434" spans="1:18" x14ac:dyDescent="0.15">
      <c r="A434" s="35" t="str">
        <f>IF(G434&lt;&gt;"",1+MAX($A$6:A433),"")</f>
        <v/>
      </c>
      <c r="B434" s="104"/>
      <c r="C434" s="243"/>
      <c r="D434" s="244"/>
      <c r="E434" s="133" t="s">
        <v>53</v>
      </c>
      <c r="F434" s="135" t="s">
        <v>57</v>
      </c>
      <c r="G434" s="249"/>
      <c r="H434" s="250"/>
      <c r="I434" s="134">
        <f>ROUNDUP((I433)/32,0)</f>
        <v>1307</v>
      </c>
      <c r="J434" s="255"/>
      <c r="K434" s="256"/>
      <c r="L434" s="256"/>
      <c r="M434" s="256"/>
      <c r="N434" s="257"/>
      <c r="O434" s="216"/>
    </row>
    <row r="435" spans="1:18" x14ac:dyDescent="0.15">
      <c r="A435" s="35" t="str">
        <f>IF(G435&lt;&gt;"",1+MAX($A$6:A434),"")</f>
        <v/>
      </c>
      <c r="B435" s="104"/>
      <c r="C435" s="245"/>
      <c r="D435" s="246"/>
      <c r="E435" s="133" t="s">
        <v>54</v>
      </c>
      <c r="F435" s="135" t="s">
        <v>58</v>
      </c>
      <c r="G435" s="251"/>
      <c r="H435" s="252"/>
      <c r="I435" s="134">
        <f>ROUNDUP(I434*24/500,0)</f>
        <v>63</v>
      </c>
      <c r="J435" s="258"/>
      <c r="K435" s="259"/>
      <c r="L435" s="259"/>
      <c r="M435" s="259"/>
      <c r="N435" s="260"/>
      <c r="O435" s="216"/>
    </row>
    <row r="436" spans="1:18" x14ac:dyDescent="0.15">
      <c r="A436" s="35" t="str">
        <f>IF(G436&lt;&gt;"",1+MAX($A$6:A435),"")</f>
        <v/>
      </c>
      <c r="B436" s="104"/>
      <c r="C436" s="245"/>
      <c r="D436" s="246"/>
      <c r="E436" s="133" t="s">
        <v>55</v>
      </c>
      <c r="F436" s="135" t="s">
        <v>59</v>
      </c>
      <c r="G436" s="251"/>
      <c r="H436" s="252"/>
      <c r="I436" s="134">
        <f>ROUNDUP((I433)/200,0)</f>
        <v>210</v>
      </c>
      <c r="J436" s="258"/>
      <c r="K436" s="259"/>
      <c r="L436" s="259"/>
      <c r="M436" s="259"/>
      <c r="N436" s="260"/>
      <c r="O436" s="216"/>
    </row>
    <row r="437" spans="1:18" x14ac:dyDescent="0.15">
      <c r="A437" s="35" t="str">
        <f>IF(G437&lt;&gt;"",1+MAX($A$6:A436),"")</f>
        <v/>
      </c>
      <c r="B437" s="104"/>
      <c r="C437" s="247"/>
      <c r="D437" s="248"/>
      <c r="E437" s="133" t="s">
        <v>56</v>
      </c>
      <c r="F437" s="135" t="s">
        <v>60</v>
      </c>
      <c r="G437" s="253"/>
      <c r="H437" s="254"/>
      <c r="I437" s="134">
        <f>ROUNDUP((I433)*5.25/1000,0)</f>
        <v>220</v>
      </c>
      <c r="J437" s="261"/>
      <c r="K437" s="262"/>
      <c r="L437" s="262"/>
      <c r="M437" s="262"/>
      <c r="N437" s="263"/>
      <c r="O437" s="216"/>
    </row>
    <row r="438" spans="1:18" s="109" customFormat="1" x14ac:dyDescent="0.15">
      <c r="A438" s="35">
        <f>IF(G438&lt;&gt;"",1+MAX($A$6:A437),"")</f>
        <v>319</v>
      </c>
      <c r="B438" s="104"/>
      <c r="C438" s="105"/>
      <c r="D438" s="120"/>
      <c r="E438" s="167" t="s">
        <v>270</v>
      </c>
      <c r="F438" s="126" t="s">
        <v>12</v>
      </c>
      <c r="G438" s="126">
        <f>2171*9</f>
        <v>19539</v>
      </c>
      <c r="H438" s="121">
        <v>7.0000000000000007E-2</v>
      </c>
      <c r="I438" s="107">
        <f t="shared" si="146"/>
        <v>20906.73</v>
      </c>
      <c r="J438" s="194">
        <v>1</v>
      </c>
      <c r="K438" s="194">
        <v>1</v>
      </c>
      <c r="L438" s="219">
        <f t="shared" ref="L438:L443" si="148">J438*I438</f>
        <v>20906.73</v>
      </c>
      <c r="M438" s="219">
        <f t="shared" ref="M438:M443" si="149">K438*I438</f>
        <v>20906.73</v>
      </c>
      <c r="N438" s="20">
        <f>L438+M438</f>
        <v>41813.46</v>
      </c>
      <c r="O438" s="222"/>
      <c r="P438" s="122"/>
      <c r="Q438" s="122"/>
      <c r="R438" s="122"/>
    </row>
    <row r="439" spans="1:18" x14ac:dyDescent="0.15">
      <c r="A439" s="35">
        <f>IF(G439&lt;&gt;"",1+MAX($A$6:A438),"")</f>
        <v>320</v>
      </c>
      <c r="B439" s="104"/>
      <c r="C439" s="105"/>
      <c r="D439" s="59"/>
      <c r="E439" s="167" t="s">
        <v>263</v>
      </c>
      <c r="F439" s="126" t="s">
        <v>31</v>
      </c>
      <c r="G439" s="126">
        <v>1633</v>
      </c>
      <c r="H439" s="8">
        <v>7.0000000000000007E-2</v>
      </c>
      <c r="I439" s="18">
        <f t="shared" si="146"/>
        <v>1747.3100000000002</v>
      </c>
      <c r="J439" s="194">
        <v>45</v>
      </c>
      <c r="K439" s="194">
        <v>27</v>
      </c>
      <c r="L439" s="219">
        <f t="shared" si="148"/>
        <v>78628.950000000012</v>
      </c>
      <c r="M439" s="219">
        <f t="shared" si="149"/>
        <v>47177.37</v>
      </c>
      <c r="N439" s="20">
        <f t="shared" ref="N439:N443" si="150">L439+M439</f>
        <v>125806.32</v>
      </c>
      <c r="O439" s="216"/>
    </row>
    <row r="440" spans="1:18" x14ac:dyDescent="0.15">
      <c r="A440" s="35">
        <f>IF(G440&lt;&gt;"",1+MAX($A$6:A439),"")</f>
        <v>321</v>
      </c>
      <c r="B440" s="104"/>
      <c r="C440" s="15"/>
      <c r="D440" s="57"/>
      <c r="E440" s="167" t="s">
        <v>264</v>
      </c>
      <c r="F440" s="126" t="s">
        <v>91</v>
      </c>
      <c r="G440" s="126">
        <v>2171</v>
      </c>
      <c r="H440" s="8">
        <v>7.0000000000000007E-2</v>
      </c>
      <c r="I440" s="18">
        <f t="shared" si="146"/>
        <v>2322.9700000000003</v>
      </c>
      <c r="J440" s="194">
        <v>5</v>
      </c>
      <c r="K440" s="194">
        <v>3</v>
      </c>
      <c r="L440" s="219">
        <f t="shared" si="148"/>
        <v>11614.850000000002</v>
      </c>
      <c r="M440" s="219">
        <f t="shared" si="149"/>
        <v>6968.9100000000008</v>
      </c>
      <c r="N440" s="20">
        <f t="shared" si="150"/>
        <v>18583.760000000002</v>
      </c>
      <c r="O440" s="216"/>
    </row>
    <row r="441" spans="1:18" x14ac:dyDescent="0.15">
      <c r="A441" s="35">
        <f>IF(G441&lt;&gt;"",1+MAX($A$6:A440),"")</f>
        <v>322</v>
      </c>
      <c r="B441" s="104"/>
      <c r="C441" s="15"/>
      <c r="D441" s="14"/>
      <c r="E441" s="167" t="s">
        <v>265</v>
      </c>
      <c r="F441" s="126" t="s">
        <v>91</v>
      </c>
      <c r="G441" s="126">
        <f>2171*2</f>
        <v>4342</v>
      </c>
      <c r="H441" s="8">
        <v>7.0000000000000007E-2</v>
      </c>
      <c r="I441" s="18">
        <f t="shared" si="146"/>
        <v>4645.9400000000005</v>
      </c>
      <c r="J441" s="194">
        <v>5</v>
      </c>
      <c r="K441" s="194">
        <v>3</v>
      </c>
      <c r="L441" s="219">
        <f t="shared" si="148"/>
        <v>23229.700000000004</v>
      </c>
      <c r="M441" s="219">
        <f t="shared" si="149"/>
        <v>13937.820000000002</v>
      </c>
      <c r="N441" s="20">
        <f t="shared" si="150"/>
        <v>37167.520000000004</v>
      </c>
      <c r="O441" s="216"/>
    </row>
    <row r="442" spans="1:18" x14ac:dyDescent="0.15">
      <c r="A442" s="35">
        <f>IF(G442&lt;&gt;"",1+MAX($A$6:A441),"")</f>
        <v>323</v>
      </c>
      <c r="B442" s="104"/>
      <c r="C442" s="15"/>
      <c r="D442" s="57"/>
      <c r="E442" s="167" t="s">
        <v>272</v>
      </c>
      <c r="F442" s="126" t="s">
        <v>91</v>
      </c>
      <c r="G442" s="126">
        <f>2171*2</f>
        <v>4342</v>
      </c>
      <c r="H442" s="8">
        <v>7.0000000000000007E-2</v>
      </c>
      <c r="I442" s="18">
        <f t="shared" si="146"/>
        <v>4645.9400000000005</v>
      </c>
      <c r="J442" s="194">
        <v>1</v>
      </c>
      <c r="K442" s="194">
        <v>1</v>
      </c>
      <c r="L442" s="219">
        <f t="shared" si="148"/>
        <v>4645.9400000000005</v>
      </c>
      <c r="M442" s="219">
        <f t="shared" si="149"/>
        <v>4645.9400000000005</v>
      </c>
      <c r="N442" s="20">
        <f t="shared" si="150"/>
        <v>9291.880000000001</v>
      </c>
      <c r="O442" s="216"/>
    </row>
    <row r="443" spans="1:18" x14ac:dyDescent="0.15">
      <c r="A443" s="35">
        <f>IF(G443&lt;&gt;"",1+MAX($A$6:A442),"")</f>
        <v>324</v>
      </c>
      <c r="B443" s="104"/>
      <c r="C443" s="15"/>
      <c r="D443" s="14"/>
      <c r="E443" s="167" t="s">
        <v>273</v>
      </c>
      <c r="F443" s="126" t="s">
        <v>91</v>
      </c>
      <c r="G443" s="126">
        <f>2171*2</f>
        <v>4342</v>
      </c>
      <c r="H443" s="8">
        <v>7.0000000000000007E-2</v>
      </c>
      <c r="I443" s="18">
        <f t="shared" si="146"/>
        <v>4645.9400000000005</v>
      </c>
      <c r="J443" s="194">
        <v>1</v>
      </c>
      <c r="K443" s="194">
        <v>1</v>
      </c>
      <c r="L443" s="219">
        <f t="shared" si="148"/>
        <v>4645.9400000000005</v>
      </c>
      <c r="M443" s="219">
        <f t="shared" si="149"/>
        <v>4645.9400000000005</v>
      </c>
      <c r="N443" s="20">
        <f t="shared" si="150"/>
        <v>9291.880000000001</v>
      </c>
      <c r="O443" s="216"/>
    </row>
    <row r="444" spans="1:18" s="109" customFormat="1" x14ac:dyDescent="0.15">
      <c r="A444" s="35">
        <f>IF(G444&lt;&gt;"",1+MAX($A$6:A443),"")</f>
        <v>325</v>
      </c>
      <c r="B444" s="104" t="s">
        <v>440</v>
      </c>
      <c r="C444" s="105"/>
      <c r="D444" s="120"/>
      <c r="E444" s="184" t="s">
        <v>279</v>
      </c>
      <c r="F444" s="130" t="s">
        <v>91</v>
      </c>
      <c r="G444" s="130">
        <v>486.31</v>
      </c>
      <c r="H444" s="188"/>
      <c r="I444" s="189"/>
      <c r="J444" s="219"/>
      <c r="K444" s="219"/>
      <c r="L444" s="219"/>
      <c r="M444" s="219"/>
      <c r="N444" s="132"/>
      <c r="O444" s="222"/>
      <c r="P444" s="122"/>
      <c r="Q444" s="122"/>
      <c r="R444" s="122"/>
    </row>
    <row r="445" spans="1:18" x14ac:dyDescent="0.15">
      <c r="A445" s="35">
        <f>IF(G445&lt;&gt;"",1+MAX($A$6:A444),"")</f>
        <v>326</v>
      </c>
      <c r="B445" s="104"/>
      <c r="C445" s="105"/>
      <c r="D445" s="59"/>
      <c r="E445" s="167" t="s">
        <v>280</v>
      </c>
      <c r="F445" s="126" t="s">
        <v>12</v>
      </c>
      <c r="G445" s="126">
        <f>487*9*2</f>
        <v>8766</v>
      </c>
      <c r="H445" s="8">
        <v>7.0000000000000007E-2</v>
      </c>
      <c r="I445" s="18">
        <f t="shared" si="146"/>
        <v>9379.6200000000008</v>
      </c>
      <c r="J445" s="194">
        <v>2</v>
      </c>
      <c r="K445" s="194">
        <v>2</v>
      </c>
      <c r="L445" s="219">
        <f>J445*I445</f>
        <v>18759.240000000002</v>
      </c>
      <c r="M445" s="219">
        <f>K445*I445</f>
        <v>18759.240000000002</v>
      </c>
      <c r="N445" s="20">
        <f t="shared" ref="N445:N451" si="151">L445+M445</f>
        <v>37518.480000000003</v>
      </c>
      <c r="O445" s="216"/>
    </row>
    <row r="446" spans="1:18" x14ac:dyDescent="0.15">
      <c r="A446" s="35" t="str">
        <f>IF(G446&lt;&gt;"",1+MAX($A$6:A445),"")</f>
        <v/>
      </c>
      <c r="B446" s="104"/>
      <c r="C446" s="243"/>
      <c r="D446" s="244"/>
      <c r="E446" s="133" t="s">
        <v>53</v>
      </c>
      <c r="F446" s="135" t="s">
        <v>57</v>
      </c>
      <c r="G446" s="249"/>
      <c r="H446" s="250"/>
      <c r="I446" s="134">
        <f>ROUNDUP((I445)/32,0)</f>
        <v>294</v>
      </c>
      <c r="J446" s="255"/>
      <c r="K446" s="256"/>
      <c r="L446" s="256"/>
      <c r="M446" s="256"/>
      <c r="N446" s="257"/>
      <c r="O446" s="216"/>
    </row>
    <row r="447" spans="1:18" x14ac:dyDescent="0.15">
      <c r="A447" s="35" t="str">
        <f>IF(G447&lt;&gt;"",1+MAX($A$6:A446),"")</f>
        <v/>
      </c>
      <c r="B447" s="104"/>
      <c r="C447" s="245"/>
      <c r="D447" s="246"/>
      <c r="E447" s="133" t="s">
        <v>54</v>
      </c>
      <c r="F447" s="135" t="s">
        <v>58</v>
      </c>
      <c r="G447" s="251"/>
      <c r="H447" s="252"/>
      <c r="I447" s="134">
        <f>ROUNDUP(I446*24/500,0)</f>
        <v>15</v>
      </c>
      <c r="J447" s="258"/>
      <c r="K447" s="259"/>
      <c r="L447" s="259"/>
      <c r="M447" s="259"/>
      <c r="N447" s="260"/>
      <c r="O447" s="216"/>
    </row>
    <row r="448" spans="1:18" x14ac:dyDescent="0.15">
      <c r="A448" s="35" t="str">
        <f>IF(G448&lt;&gt;"",1+MAX($A$6:A447),"")</f>
        <v/>
      </c>
      <c r="B448" s="104"/>
      <c r="C448" s="245"/>
      <c r="D448" s="246"/>
      <c r="E448" s="133" t="s">
        <v>55</v>
      </c>
      <c r="F448" s="135" t="s">
        <v>59</v>
      </c>
      <c r="G448" s="251"/>
      <c r="H448" s="252"/>
      <c r="I448" s="134">
        <f>ROUNDUP((I445)/200,0)</f>
        <v>47</v>
      </c>
      <c r="J448" s="258"/>
      <c r="K448" s="259"/>
      <c r="L448" s="259"/>
      <c r="M448" s="259"/>
      <c r="N448" s="260"/>
      <c r="O448" s="216"/>
    </row>
    <row r="449" spans="1:18" x14ac:dyDescent="0.15">
      <c r="A449" s="35" t="str">
        <f>IF(G449&lt;&gt;"",1+MAX($A$6:A448),"")</f>
        <v/>
      </c>
      <c r="B449" s="104"/>
      <c r="C449" s="247"/>
      <c r="D449" s="248"/>
      <c r="E449" s="133" t="s">
        <v>56</v>
      </c>
      <c r="F449" s="135" t="s">
        <v>60</v>
      </c>
      <c r="G449" s="253"/>
      <c r="H449" s="254"/>
      <c r="I449" s="134">
        <f>ROUNDUP((I445)*5.25/1000,0)</f>
        <v>50</v>
      </c>
      <c r="J449" s="261"/>
      <c r="K449" s="262"/>
      <c r="L449" s="262"/>
      <c r="M449" s="262"/>
      <c r="N449" s="263"/>
      <c r="O449" s="216"/>
    </row>
    <row r="450" spans="1:18" x14ac:dyDescent="0.15">
      <c r="A450" s="35">
        <f>IF(G450&lt;&gt;"",1+MAX($A$6:A449),"")</f>
        <v>327</v>
      </c>
      <c r="B450" s="104"/>
      <c r="C450" s="15"/>
      <c r="D450" s="57"/>
      <c r="E450" s="167" t="s">
        <v>281</v>
      </c>
      <c r="F450" s="126" t="s">
        <v>12</v>
      </c>
      <c r="G450" s="126">
        <f>487*9*2</f>
        <v>8766</v>
      </c>
      <c r="H450" s="8">
        <v>7.0000000000000007E-2</v>
      </c>
      <c r="I450" s="18">
        <f t="shared" si="146"/>
        <v>9379.6200000000008</v>
      </c>
      <c r="J450" s="194">
        <v>1</v>
      </c>
      <c r="K450" s="194">
        <v>1</v>
      </c>
      <c r="L450" s="219">
        <f t="shared" ref="L450:L455" si="152">J450*I450</f>
        <v>9379.6200000000008</v>
      </c>
      <c r="M450" s="219">
        <f t="shared" ref="M450:M455" si="153">K450*I450</f>
        <v>9379.6200000000008</v>
      </c>
      <c r="N450" s="20">
        <f t="shared" si="151"/>
        <v>18759.240000000002</v>
      </c>
      <c r="O450" s="216"/>
    </row>
    <row r="451" spans="1:18" x14ac:dyDescent="0.15">
      <c r="A451" s="35">
        <f>IF(G451&lt;&gt;"",1+MAX($A$6:A450),"")</f>
        <v>328</v>
      </c>
      <c r="B451" s="104"/>
      <c r="C451" s="15"/>
      <c r="D451" s="14"/>
      <c r="E451" s="167" t="s">
        <v>282</v>
      </c>
      <c r="F451" s="126" t="s">
        <v>31</v>
      </c>
      <c r="G451" s="126">
        <f>367*2</f>
        <v>734</v>
      </c>
      <c r="H451" s="8">
        <v>7.0000000000000007E-2</v>
      </c>
      <c r="I451" s="18">
        <f t="shared" si="146"/>
        <v>785.38</v>
      </c>
      <c r="J451" s="194">
        <v>36</v>
      </c>
      <c r="K451" s="194">
        <v>18</v>
      </c>
      <c r="L451" s="219">
        <f t="shared" si="152"/>
        <v>28273.68</v>
      </c>
      <c r="M451" s="219">
        <f t="shared" si="153"/>
        <v>14136.84</v>
      </c>
      <c r="N451" s="20">
        <f t="shared" si="151"/>
        <v>42410.520000000004</v>
      </c>
      <c r="O451" s="216"/>
    </row>
    <row r="452" spans="1:18" s="109" customFormat="1" x14ac:dyDescent="0.15">
      <c r="A452" s="35">
        <f>IF(G452&lt;&gt;"",1+MAX($A$6:A451),"")</f>
        <v>329</v>
      </c>
      <c r="B452" s="104"/>
      <c r="C452" s="105"/>
      <c r="D452" s="120"/>
      <c r="E452" s="167" t="s">
        <v>283</v>
      </c>
      <c r="F452" s="126" t="s">
        <v>91</v>
      </c>
      <c r="G452" s="126">
        <f>487*2</f>
        <v>974</v>
      </c>
      <c r="H452" s="121">
        <v>7.0000000000000007E-2</v>
      </c>
      <c r="I452" s="107">
        <f t="shared" si="146"/>
        <v>1042.18</v>
      </c>
      <c r="J452" s="194">
        <v>6</v>
      </c>
      <c r="K452" s="194">
        <v>4</v>
      </c>
      <c r="L452" s="219">
        <f t="shared" si="152"/>
        <v>6253.08</v>
      </c>
      <c r="M452" s="219">
        <f t="shared" si="153"/>
        <v>4168.72</v>
      </c>
      <c r="N452" s="20">
        <f>L452+M452</f>
        <v>10421.799999999999</v>
      </c>
      <c r="O452" s="222"/>
      <c r="P452" s="122"/>
      <c r="Q452" s="122"/>
      <c r="R452" s="122"/>
    </row>
    <row r="453" spans="1:18" x14ac:dyDescent="0.15">
      <c r="A453" s="35">
        <f>IF(G453&lt;&gt;"",1+MAX($A$6:A452),"")</f>
        <v>330</v>
      </c>
      <c r="B453" s="104"/>
      <c r="C453" s="105"/>
      <c r="D453" s="59"/>
      <c r="E453" s="167" t="s">
        <v>277</v>
      </c>
      <c r="F453" s="126" t="s">
        <v>91</v>
      </c>
      <c r="G453" s="126">
        <f>487*2</f>
        <v>974</v>
      </c>
      <c r="H453" s="8">
        <v>7.0000000000000007E-2</v>
      </c>
      <c r="I453" s="18">
        <f t="shared" si="146"/>
        <v>1042.18</v>
      </c>
      <c r="J453" s="194">
        <v>4</v>
      </c>
      <c r="K453" s="194">
        <v>2</v>
      </c>
      <c r="L453" s="219">
        <f t="shared" si="152"/>
        <v>4168.72</v>
      </c>
      <c r="M453" s="219">
        <f t="shared" si="153"/>
        <v>2084.36</v>
      </c>
      <c r="N453" s="20">
        <f t="shared" ref="N453:N455" si="154">L453+M453</f>
        <v>6253.08</v>
      </c>
      <c r="O453" s="216"/>
    </row>
    <row r="454" spans="1:18" x14ac:dyDescent="0.15">
      <c r="A454" s="35">
        <f>IF(G454&lt;&gt;"",1+MAX($A$6:A453),"")</f>
        <v>331</v>
      </c>
      <c r="B454" s="104"/>
      <c r="C454" s="15"/>
      <c r="D454" s="57"/>
      <c r="E454" s="167" t="s">
        <v>272</v>
      </c>
      <c r="F454" s="126" t="s">
        <v>91</v>
      </c>
      <c r="G454" s="126">
        <f>487*2</f>
        <v>974</v>
      </c>
      <c r="H454" s="8">
        <v>7.0000000000000007E-2</v>
      </c>
      <c r="I454" s="18">
        <f t="shared" si="146"/>
        <v>1042.18</v>
      </c>
      <c r="J454" s="194">
        <v>1</v>
      </c>
      <c r="K454" s="194">
        <v>1</v>
      </c>
      <c r="L454" s="219">
        <f t="shared" si="152"/>
        <v>1042.18</v>
      </c>
      <c r="M454" s="219">
        <f t="shared" si="153"/>
        <v>1042.18</v>
      </c>
      <c r="N454" s="20">
        <f t="shared" si="154"/>
        <v>2084.36</v>
      </c>
      <c r="O454" s="216"/>
    </row>
    <row r="455" spans="1:18" x14ac:dyDescent="0.15">
      <c r="A455" s="35">
        <f>IF(G455&lt;&gt;"",1+MAX($A$6:A454),"")</f>
        <v>332</v>
      </c>
      <c r="B455" s="104"/>
      <c r="C455" s="15"/>
      <c r="D455" s="14"/>
      <c r="E455" s="167" t="s">
        <v>273</v>
      </c>
      <c r="F455" s="126" t="s">
        <v>91</v>
      </c>
      <c r="G455" s="126">
        <f>487*2</f>
        <v>974</v>
      </c>
      <c r="H455" s="8">
        <v>7.0000000000000007E-2</v>
      </c>
      <c r="I455" s="18">
        <f t="shared" si="146"/>
        <v>1042.18</v>
      </c>
      <c r="J455" s="194">
        <v>1</v>
      </c>
      <c r="K455" s="194">
        <v>1</v>
      </c>
      <c r="L455" s="219">
        <f t="shared" si="152"/>
        <v>1042.18</v>
      </c>
      <c r="M455" s="219">
        <f t="shared" si="153"/>
        <v>1042.18</v>
      </c>
      <c r="N455" s="20">
        <f t="shared" si="154"/>
        <v>2084.36</v>
      </c>
      <c r="O455" s="216"/>
    </row>
    <row r="456" spans="1:18" s="109" customFormat="1" x14ac:dyDescent="0.15">
      <c r="A456" s="35">
        <f>IF(G456&lt;&gt;"",1+MAX($A$6:A455),"")</f>
        <v>333</v>
      </c>
      <c r="B456" s="104" t="s">
        <v>440</v>
      </c>
      <c r="C456" s="105"/>
      <c r="D456" s="120"/>
      <c r="E456" s="184" t="s">
        <v>284</v>
      </c>
      <c r="F456" s="130" t="s">
        <v>91</v>
      </c>
      <c r="G456" s="130">
        <v>84.59</v>
      </c>
      <c r="H456" s="188"/>
      <c r="I456" s="189"/>
      <c r="J456" s="219"/>
      <c r="K456" s="219"/>
      <c r="L456" s="219"/>
      <c r="M456" s="219"/>
      <c r="N456" s="132"/>
      <c r="O456" s="222"/>
      <c r="P456" s="122"/>
      <c r="Q456" s="122"/>
      <c r="R456" s="122"/>
    </row>
    <row r="457" spans="1:18" x14ac:dyDescent="0.15">
      <c r="A457" s="35">
        <f>IF(G457&lt;&gt;"",1+MAX($A$6:A456),"")</f>
        <v>334</v>
      </c>
      <c r="B457" s="104"/>
      <c r="C457" s="105"/>
      <c r="D457" s="59"/>
      <c r="E457" s="167" t="s">
        <v>285</v>
      </c>
      <c r="F457" s="126" t="s">
        <v>12</v>
      </c>
      <c r="G457" s="126">
        <f>85*9</f>
        <v>765</v>
      </c>
      <c r="H457" s="8">
        <v>7.0000000000000007E-2</v>
      </c>
      <c r="I457" s="18">
        <f t="shared" si="146"/>
        <v>818.55000000000007</v>
      </c>
      <c r="J457" s="194">
        <v>2</v>
      </c>
      <c r="K457" s="194">
        <v>2</v>
      </c>
      <c r="L457" s="219">
        <f>J457*I457</f>
        <v>1637.1000000000001</v>
      </c>
      <c r="M457" s="219">
        <f>K457*I457</f>
        <v>1637.1000000000001</v>
      </c>
      <c r="N457" s="20">
        <f t="shared" ref="N457:N473" si="155">L457+M457</f>
        <v>3274.2000000000003</v>
      </c>
      <c r="O457" s="216"/>
    </row>
    <row r="458" spans="1:18" x14ac:dyDescent="0.15">
      <c r="A458" s="35" t="str">
        <f>IF(G458&lt;&gt;"",1+MAX($A$6:A457),"")</f>
        <v/>
      </c>
      <c r="B458" s="104"/>
      <c r="C458" s="243"/>
      <c r="D458" s="244"/>
      <c r="E458" s="133" t="s">
        <v>53</v>
      </c>
      <c r="F458" s="135" t="s">
        <v>57</v>
      </c>
      <c r="G458" s="249"/>
      <c r="H458" s="250"/>
      <c r="I458" s="134">
        <f>ROUNDUP((I457)/32,0)</f>
        <v>26</v>
      </c>
      <c r="J458" s="255"/>
      <c r="K458" s="256"/>
      <c r="L458" s="256"/>
      <c r="M458" s="256"/>
      <c r="N458" s="257"/>
      <c r="O458" s="216"/>
    </row>
    <row r="459" spans="1:18" x14ac:dyDescent="0.15">
      <c r="A459" s="35" t="str">
        <f>IF(G459&lt;&gt;"",1+MAX($A$6:A458),"")</f>
        <v/>
      </c>
      <c r="B459" s="104"/>
      <c r="C459" s="245"/>
      <c r="D459" s="246"/>
      <c r="E459" s="133" t="s">
        <v>54</v>
      </c>
      <c r="F459" s="135" t="s">
        <v>58</v>
      </c>
      <c r="G459" s="251"/>
      <c r="H459" s="252"/>
      <c r="I459" s="134">
        <f>ROUNDUP(I458*24/500,0)</f>
        <v>2</v>
      </c>
      <c r="J459" s="258"/>
      <c r="K459" s="259"/>
      <c r="L459" s="259"/>
      <c r="M459" s="259"/>
      <c r="N459" s="260"/>
      <c r="O459" s="216"/>
    </row>
    <row r="460" spans="1:18" x14ac:dyDescent="0.15">
      <c r="A460" s="35" t="str">
        <f>IF(G460&lt;&gt;"",1+MAX($A$6:A459),"")</f>
        <v/>
      </c>
      <c r="B460" s="104"/>
      <c r="C460" s="245"/>
      <c r="D460" s="246"/>
      <c r="E460" s="133" t="s">
        <v>55</v>
      </c>
      <c r="F460" s="135" t="s">
        <v>59</v>
      </c>
      <c r="G460" s="251"/>
      <c r="H460" s="252"/>
      <c r="I460" s="134">
        <f>ROUNDUP((I457)/200,0)</f>
        <v>5</v>
      </c>
      <c r="J460" s="258"/>
      <c r="K460" s="259"/>
      <c r="L460" s="259"/>
      <c r="M460" s="259"/>
      <c r="N460" s="260"/>
      <c r="O460" s="216"/>
    </row>
    <row r="461" spans="1:18" x14ac:dyDescent="0.15">
      <c r="A461" s="35" t="str">
        <f>IF(G461&lt;&gt;"",1+MAX($A$6:A460),"")</f>
        <v/>
      </c>
      <c r="B461" s="104"/>
      <c r="C461" s="247"/>
      <c r="D461" s="248"/>
      <c r="E461" s="133" t="s">
        <v>56</v>
      </c>
      <c r="F461" s="135" t="s">
        <v>60</v>
      </c>
      <c r="G461" s="253"/>
      <c r="H461" s="254"/>
      <c r="I461" s="134">
        <f>ROUNDUP((I457)*5.25/1000,0)</f>
        <v>5</v>
      </c>
      <c r="J461" s="261"/>
      <c r="K461" s="262"/>
      <c r="L461" s="262"/>
      <c r="M461" s="262"/>
      <c r="N461" s="263"/>
      <c r="O461" s="216"/>
    </row>
    <row r="462" spans="1:18" x14ac:dyDescent="0.15">
      <c r="A462" s="35">
        <f>IF(G462&lt;&gt;"",1+MAX($A$6:A461),"")</f>
        <v>335</v>
      </c>
      <c r="B462" s="104"/>
      <c r="C462" s="15"/>
      <c r="D462" s="57"/>
      <c r="E462" s="167" t="s">
        <v>286</v>
      </c>
      <c r="F462" s="126" t="s">
        <v>12</v>
      </c>
      <c r="G462" s="126">
        <f>85*9*2</f>
        <v>1530</v>
      </c>
      <c r="H462" s="8">
        <v>7.0000000000000007E-2</v>
      </c>
      <c r="I462" s="18">
        <f t="shared" si="146"/>
        <v>1637.1000000000001</v>
      </c>
      <c r="J462" s="194">
        <v>2</v>
      </c>
      <c r="K462" s="194">
        <v>2</v>
      </c>
      <c r="L462" s="219">
        <f>J462*I462</f>
        <v>3274.2000000000003</v>
      </c>
      <c r="M462" s="219">
        <f>K462*I462</f>
        <v>3274.2000000000003</v>
      </c>
      <c r="N462" s="20">
        <f t="shared" si="155"/>
        <v>6548.4000000000005</v>
      </c>
      <c r="O462" s="216"/>
    </row>
    <row r="463" spans="1:18" x14ac:dyDescent="0.15">
      <c r="A463" s="35" t="str">
        <f>IF(G463&lt;&gt;"",1+MAX($A$6:A462),"")</f>
        <v/>
      </c>
      <c r="B463" s="104"/>
      <c r="C463" s="243"/>
      <c r="D463" s="244"/>
      <c r="E463" s="133" t="s">
        <v>53</v>
      </c>
      <c r="F463" s="135" t="s">
        <v>57</v>
      </c>
      <c r="G463" s="249"/>
      <c r="H463" s="250"/>
      <c r="I463" s="134">
        <f>ROUNDUP((I462)/32,0)</f>
        <v>52</v>
      </c>
      <c r="J463" s="255"/>
      <c r="K463" s="256"/>
      <c r="L463" s="256"/>
      <c r="M463" s="256"/>
      <c r="N463" s="257"/>
      <c r="O463" s="216"/>
    </row>
    <row r="464" spans="1:18" x14ac:dyDescent="0.15">
      <c r="A464" s="35" t="str">
        <f>IF(G464&lt;&gt;"",1+MAX($A$6:A463),"")</f>
        <v/>
      </c>
      <c r="B464" s="104"/>
      <c r="C464" s="245"/>
      <c r="D464" s="246"/>
      <c r="E464" s="133" t="s">
        <v>54</v>
      </c>
      <c r="F464" s="135" t="s">
        <v>58</v>
      </c>
      <c r="G464" s="251"/>
      <c r="H464" s="252"/>
      <c r="I464" s="134">
        <f>ROUNDUP(I463*24/500,0)</f>
        <v>3</v>
      </c>
      <c r="J464" s="258"/>
      <c r="K464" s="259"/>
      <c r="L464" s="259"/>
      <c r="M464" s="259"/>
      <c r="N464" s="260"/>
      <c r="O464" s="216"/>
    </row>
    <row r="465" spans="1:18" x14ac:dyDescent="0.15">
      <c r="A465" s="35" t="str">
        <f>IF(G465&lt;&gt;"",1+MAX($A$6:A464),"")</f>
        <v/>
      </c>
      <c r="B465" s="104"/>
      <c r="C465" s="245"/>
      <c r="D465" s="246"/>
      <c r="E465" s="133" t="s">
        <v>55</v>
      </c>
      <c r="F465" s="135" t="s">
        <v>59</v>
      </c>
      <c r="G465" s="251"/>
      <c r="H465" s="252"/>
      <c r="I465" s="134">
        <f>ROUNDUP((I462)/200,0)</f>
        <v>9</v>
      </c>
      <c r="J465" s="258"/>
      <c r="K465" s="259"/>
      <c r="L465" s="259"/>
      <c r="M465" s="259"/>
      <c r="N465" s="260"/>
      <c r="O465" s="216"/>
    </row>
    <row r="466" spans="1:18" x14ac:dyDescent="0.15">
      <c r="A466" s="35" t="str">
        <f>IF(G466&lt;&gt;"",1+MAX($A$6:A465),"")</f>
        <v/>
      </c>
      <c r="B466" s="104"/>
      <c r="C466" s="247"/>
      <c r="D466" s="248"/>
      <c r="E466" s="133" t="s">
        <v>56</v>
      </c>
      <c r="F466" s="135" t="s">
        <v>60</v>
      </c>
      <c r="G466" s="253"/>
      <c r="H466" s="254"/>
      <c r="I466" s="134">
        <f>ROUNDUP((I462)*5.25/1000,0)</f>
        <v>9</v>
      </c>
      <c r="J466" s="261"/>
      <c r="K466" s="262"/>
      <c r="L466" s="262"/>
      <c r="M466" s="262"/>
      <c r="N466" s="263"/>
      <c r="O466" s="216"/>
    </row>
    <row r="467" spans="1:18" x14ac:dyDescent="0.15">
      <c r="A467" s="35">
        <f>IF(G467&lt;&gt;"",1+MAX($A$6:A466),"")</f>
        <v>336</v>
      </c>
      <c r="B467" s="104"/>
      <c r="C467" s="105"/>
      <c r="D467" s="59"/>
      <c r="E467" s="167" t="s">
        <v>287</v>
      </c>
      <c r="F467" s="126" t="s">
        <v>12</v>
      </c>
      <c r="G467" s="126">
        <f>85*9</f>
        <v>765</v>
      </c>
      <c r="H467" s="8">
        <v>7.0000000000000007E-2</v>
      </c>
      <c r="I467" s="18">
        <f t="shared" si="146"/>
        <v>818.55000000000007</v>
      </c>
      <c r="J467" s="194">
        <v>2</v>
      </c>
      <c r="K467" s="194">
        <v>2</v>
      </c>
      <c r="L467" s="219">
        <f>J467*I467</f>
        <v>1637.1000000000001</v>
      </c>
      <c r="M467" s="219">
        <f>K467*I467</f>
        <v>1637.1000000000001</v>
      </c>
      <c r="N467" s="20">
        <f t="shared" si="155"/>
        <v>3274.2000000000003</v>
      </c>
      <c r="O467" s="216"/>
    </row>
    <row r="468" spans="1:18" x14ac:dyDescent="0.15">
      <c r="A468" s="35" t="str">
        <f>IF(G468&lt;&gt;"",1+MAX($A$6:A467),"")</f>
        <v/>
      </c>
      <c r="B468" s="104"/>
      <c r="C468" s="243"/>
      <c r="D468" s="244"/>
      <c r="E468" s="133" t="s">
        <v>53</v>
      </c>
      <c r="F468" s="135" t="s">
        <v>57</v>
      </c>
      <c r="G468" s="249"/>
      <c r="H468" s="250"/>
      <c r="I468" s="134">
        <f>ROUNDUP((I467)/32,0)</f>
        <v>26</v>
      </c>
      <c r="J468" s="255"/>
      <c r="K468" s="256"/>
      <c r="L468" s="256"/>
      <c r="M468" s="256"/>
      <c r="N468" s="257"/>
      <c r="O468" s="216"/>
    </row>
    <row r="469" spans="1:18" x14ac:dyDescent="0.15">
      <c r="A469" s="35" t="str">
        <f>IF(G469&lt;&gt;"",1+MAX($A$6:A468),"")</f>
        <v/>
      </c>
      <c r="B469" s="104"/>
      <c r="C469" s="245"/>
      <c r="D469" s="246"/>
      <c r="E469" s="133" t="s">
        <v>54</v>
      </c>
      <c r="F469" s="135" t="s">
        <v>58</v>
      </c>
      <c r="G469" s="251"/>
      <c r="H469" s="252"/>
      <c r="I469" s="134">
        <f>ROUNDUP(I468*24/500,0)</f>
        <v>2</v>
      </c>
      <c r="J469" s="258"/>
      <c r="K469" s="259"/>
      <c r="L469" s="259"/>
      <c r="M469" s="259"/>
      <c r="N469" s="260"/>
      <c r="O469" s="216"/>
    </row>
    <row r="470" spans="1:18" x14ac:dyDescent="0.15">
      <c r="A470" s="35" t="str">
        <f>IF(G470&lt;&gt;"",1+MAX($A$6:A469),"")</f>
        <v/>
      </c>
      <c r="B470" s="104"/>
      <c r="C470" s="245"/>
      <c r="D470" s="246"/>
      <c r="E470" s="133" t="s">
        <v>55</v>
      </c>
      <c r="F470" s="135" t="s">
        <v>59</v>
      </c>
      <c r="G470" s="251"/>
      <c r="H470" s="252"/>
      <c r="I470" s="134">
        <f>ROUNDUP((I467)/200,0)</f>
        <v>5</v>
      </c>
      <c r="J470" s="258"/>
      <c r="K470" s="259"/>
      <c r="L470" s="259"/>
      <c r="M470" s="259"/>
      <c r="N470" s="260"/>
      <c r="O470" s="216"/>
    </row>
    <row r="471" spans="1:18" x14ac:dyDescent="0.15">
      <c r="A471" s="35" t="str">
        <f>IF(G471&lt;&gt;"",1+MAX($A$6:A470),"")</f>
        <v/>
      </c>
      <c r="B471" s="104"/>
      <c r="C471" s="247"/>
      <c r="D471" s="248"/>
      <c r="E471" s="133" t="s">
        <v>56</v>
      </c>
      <c r="F471" s="135" t="s">
        <v>60</v>
      </c>
      <c r="G471" s="253"/>
      <c r="H471" s="254"/>
      <c r="I471" s="134">
        <f>ROUNDUP((I467)*5.25/1000,0)</f>
        <v>5</v>
      </c>
      <c r="J471" s="261"/>
      <c r="K471" s="262"/>
      <c r="L471" s="262"/>
      <c r="M471" s="262"/>
      <c r="N471" s="263"/>
      <c r="O471" s="216"/>
    </row>
    <row r="472" spans="1:18" x14ac:dyDescent="0.15">
      <c r="A472" s="35">
        <f>IF(G472&lt;&gt;"",1+MAX($A$6:A471),"")</f>
        <v>337</v>
      </c>
      <c r="B472" s="104"/>
      <c r="C472" s="15"/>
      <c r="D472" s="57"/>
      <c r="E472" s="167" t="s">
        <v>281</v>
      </c>
      <c r="F472" s="126" t="s">
        <v>12</v>
      </c>
      <c r="G472" s="126">
        <f>85*9*2</f>
        <v>1530</v>
      </c>
      <c r="H472" s="8">
        <v>7.0000000000000007E-2</v>
      </c>
      <c r="I472" s="18">
        <f t="shared" si="146"/>
        <v>1637.1000000000001</v>
      </c>
      <c r="J472" s="194">
        <v>1</v>
      </c>
      <c r="K472" s="194">
        <v>1</v>
      </c>
      <c r="L472" s="219">
        <f t="shared" ref="L472:L477" si="156">J472*I472</f>
        <v>1637.1000000000001</v>
      </c>
      <c r="M472" s="219">
        <f t="shared" ref="M472:M477" si="157">K472*I472</f>
        <v>1637.1000000000001</v>
      </c>
      <c r="N472" s="20">
        <f t="shared" si="155"/>
        <v>3274.2000000000003</v>
      </c>
      <c r="O472" s="216"/>
    </row>
    <row r="473" spans="1:18" x14ac:dyDescent="0.15">
      <c r="A473" s="35">
        <f>IF(G473&lt;&gt;"",1+MAX($A$6:A472),"")</f>
        <v>338</v>
      </c>
      <c r="B473" s="104"/>
      <c r="C473" s="15"/>
      <c r="D473" s="14"/>
      <c r="E473" s="167" t="s">
        <v>288</v>
      </c>
      <c r="F473" s="126" t="s">
        <v>12</v>
      </c>
      <c r="G473" s="126">
        <f>85*9</f>
        <v>765</v>
      </c>
      <c r="H473" s="8">
        <v>7.0000000000000007E-2</v>
      </c>
      <c r="I473" s="18">
        <f t="shared" si="146"/>
        <v>818.55000000000007</v>
      </c>
      <c r="J473" s="194">
        <v>5</v>
      </c>
      <c r="K473" s="194">
        <v>3</v>
      </c>
      <c r="L473" s="219">
        <f t="shared" si="156"/>
        <v>4092.7500000000005</v>
      </c>
      <c r="M473" s="219">
        <f t="shared" si="157"/>
        <v>2455.65</v>
      </c>
      <c r="N473" s="20">
        <f t="shared" si="155"/>
        <v>6548.4000000000005</v>
      </c>
      <c r="O473" s="216"/>
    </row>
    <row r="474" spans="1:18" s="109" customFormat="1" x14ac:dyDescent="0.15">
      <c r="A474" s="35">
        <f>IF(G474&lt;&gt;"",1+MAX($A$6:A473),"")</f>
        <v>339</v>
      </c>
      <c r="B474" s="104"/>
      <c r="C474" s="105"/>
      <c r="D474" s="120"/>
      <c r="E474" s="167" t="s">
        <v>275</v>
      </c>
      <c r="F474" s="126" t="s">
        <v>31</v>
      </c>
      <c r="G474" s="126">
        <v>65</v>
      </c>
      <c r="H474" s="121">
        <v>7.0000000000000007E-2</v>
      </c>
      <c r="I474" s="107">
        <f t="shared" si="146"/>
        <v>69.55</v>
      </c>
      <c r="J474" s="194">
        <v>36</v>
      </c>
      <c r="K474" s="194">
        <v>18</v>
      </c>
      <c r="L474" s="219">
        <f t="shared" si="156"/>
        <v>2503.7999999999997</v>
      </c>
      <c r="M474" s="219">
        <f t="shared" si="157"/>
        <v>1251.8999999999999</v>
      </c>
      <c r="N474" s="20">
        <f>L474+M474</f>
        <v>3755.7</v>
      </c>
      <c r="O474" s="222"/>
      <c r="P474" s="122"/>
      <c r="Q474" s="122"/>
      <c r="R474" s="122"/>
    </row>
    <row r="475" spans="1:18" x14ac:dyDescent="0.15">
      <c r="A475" s="35">
        <f>IF(G475&lt;&gt;"",1+MAX($A$6:A474),"")</f>
        <v>340</v>
      </c>
      <c r="B475" s="104"/>
      <c r="C475" s="105"/>
      <c r="D475" s="59"/>
      <c r="E475" s="167" t="s">
        <v>289</v>
      </c>
      <c r="F475" s="126" t="s">
        <v>91</v>
      </c>
      <c r="G475" s="126">
        <f>85*2</f>
        <v>170</v>
      </c>
      <c r="H475" s="8">
        <v>7.0000000000000007E-2</v>
      </c>
      <c r="I475" s="18">
        <f t="shared" si="146"/>
        <v>181.9</v>
      </c>
      <c r="J475" s="194">
        <v>4</v>
      </c>
      <c r="K475" s="194">
        <v>2</v>
      </c>
      <c r="L475" s="219">
        <f t="shared" si="156"/>
        <v>727.6</v>
      </c>
      <c r="M475" s="219">
        <f t="shared" si="157"/>
        <v>363.8</v>
      </c>
      <c r="N475" s="20">
        <f t="shared" ref="N475:N477" si="158">L475+M475</f>
        <v>1091.4000000000001</v>
      </c>
      <c r="O475" s="216"/>
    </row>
    <row r="476" spans="1:18" x14ac:dyDescent="0.15">
      <c r="A476" s="35">
        <f>IF(G476&lt;&gt;"",1+MAX($A$6:A475),"")</f>
        <v>341</v>
      </c>
      <c r="B476" s="104"/>
      <c r="C476" s="15"/>
      <c r="D476" s="57"/>
      <c r="E476" s="167" t="s">
        <v>290</v>
      </c>
      <c r="F476" s="126" t="s">
        <v>91</v>
      </c>
      <c r="G476" s="126">
        <v>85</v>
      </c>
      <c r="H476" s="8">
        <v>7.0000000000000007E-2</v>
      </c>
      <c r="I476" s="18">
        <f t="shared" si="146"/>
        <v>90.95</v>
      </c>
      <c r="J476" s="194">
        <v>1</v>
      </c>
      <c r="K476" s="194">
        <v>1</v>
      </c>
      <c r="L476" s="219">
        <f t="shared" si="156"/>
        <v>90.95</v>
      </c>
      <c r="M476" s="219">
        <f t="shared" si="157"/>
        <v>90.95</v>
      </c>
      <c r="N476" s="20">
        <f t="shared" si="158"/>
        <v>181.9</v>
      </c>
      <c r="O476" s="216"/>
    </row>
    <row r="477" spans="1:18" x14ac:dyDescent="0.15">
      <c r="A477" s="35">
        <f>IF(G477&lt;&gt;"",1+MAX($A$6:A476),"")</f>
        <v>342</v>
      </c>
      <c r="B477" s="104"/>
      <c r="C477" s="15"/>
      <c r="D477" s="14"/>
      <c r="E477" s="167" t="s">
        <v>291</v>
      </c>
      <c r="F477" s="126" t="s">
        <v>91</v>
      </c>
      <c r="G477" s="126">
        <v>85</v>
      </c>
      <c r="H477" s="8">
        <v>7.0000000000000007E-2</v>
      </c>
      <c r="I477" s="18">
        <f t="shared" si="146"/>
        <v>90.95</v>
      </c>
      <c r="J477" s="194">
        <v>1</v>
      </c>
      <c r="K477" s="194">
        <v>1</v>
      </c>
      <c r="L477" s="219">
        <f t="shared" si="156"/>
        <v>90.95</v>
      </c>
      <c r="M477" s="219">
        <f t="shared" si="157"/>
        <v>90.95</v>
      </c>
      <c r="N477" s="20">
        <f t="shared" si="158"/>
        <v>181.9</v>
      </c>
      <c r="O477" s="216"/>
    </row>
    <row r="478" spans="1:18" s="109" customFormat="1" x14ac:dyDescent="0.15">
      <c r="A478" s="35">
        <f>IF(G478&lt;&gt;"",1+MAX($A$6:A477),"")</f>
        <v>343</v>
      </c>
      <c r="B478" s="104" t="s">
        <v>440</v>
      </c>
      <c r="C478" s="105"/>
      <c r="D478" s="120"/>
      <c r="E478" s="184" t="s">
        <v>292</v>
      </c>
      <c r="F478" s="130" t="s">
        <v>91</v>
      </c>
      <c r="G478" s="130">
        <v>121.86</v>
      </c>
      <c r="H478" s="188"/>
      <c r="I478" s="189"/>
      <c r="J478" s="219"/>
      <c r="K478" s="219"/>
      <c r="L478" s="219"/>
      <c r="M478" s="219"/>
      <c r="N478" s="132"/>
      <c r="O478" s="222"/>
      <c r="P478" s="122"/>
      <c r="Q478" s="122"/>
      <c r="R478" s="122"/>
    </row>
    <row r="479" spans="1:18" x14ac:dyDescent="0.15">
      <c r="A479" s="35">
        <f>IF(G479&lt;&gt;"",1+MAX($A$6:A478),"")</f>
        <v>344</v>
      </c>
      <c r="B479" s="104"/>
      <c r="C479" s="105"/>
      <c r="D479" s="59"/>
      <c r="E479" s="167" t="s">
        <v>293</v>
      </c>
      <c r="F479" s="126" t="s">
        <v>12</v>
      </c>
      <c r="G479" s="126">
        <f>122*9*2</f>
        <v>2196</v>
      </c>
      <c r="H479" s="8">
        <v>7.0000000000000007E-2</v>
      </c>
      <c r="I479" s="18">
        <f t="shared" si="146"/>
        <v>2349.7200000000003</v>
      </c>
      <c r="J479" s="194">
        <v>2</v>
      </c>
      <c r="K479" s="194">
        <v>2</v>
      </c>
      <c r="L479" s="219">
        <f>J479*I479</f>
        <v>4699.4400000000005</v>
      </c>
      <c r="M479" s="219">
        <f>K479*I479</f>
        <v>4699.4400000000005</v>
      </c>
      <c r="N479" s="20">
        <f t="shared" ref="N479:N485" si="159">L479+M479</f>
        <v>9398.880000000001</v>
      </c>
      <c r="O479" s="216"/>
    </row>
    <row r="480" spans="1:18" x14ac:dyDescent="0.15">
      <c r="A480" s="35" t="str">
        <f>IF(G480&lt;&gt;"",1+MAX($A$6:A479),"")</f>
        <v/>
      </c>
      <c r="B480" s="104"/>
      <c r="C480" s="243"/>
      <c r="D480" s="244"/>
      <c r="E480" s="133" t="s">
        <v>53</v>
      </c>
      <c r="F480" s="135" t="s">
        <v>57</v>
      </c>
      <c r="G480" s="249"/>
      <c r="H480" s="250"/>
      <c r="I480" s="134">
        <f>ROUNDUP((I479)/32,0)</f>
        <v>74</v>
      </c>
      <c r="J480" s="255"/>
      <c r="K480" s="256"/>
      <c r="L480" s="256"/>
      <c r="M480" s="256"/>
      <c r="N480" s="257"/>
      <c r="O480" s="216"/>
    </row>
    <row r="481" spans="1:18" x14ac:dyDescent="0.15">
      <c r="A481" s="35" t="str">
        <f>IF(G481&lt;&gt;"",1+MAX($A$6:A480),"")</f>
        <v/>
      </c>
      <c r="B481" s="104"/>
      <c r="C481" s="245"/>
      <c r="D481" s="246"/>
      <c r="E481" s="133" t="s">
        <v>54</v>
      </c>
      <c r="F481" s="135" t="s">
        <v>58</v>
      </c>
      <c r="G481" s="251"/>
      <c r="H481" s="252"/>
      <c r="I481" s="134">
        <f>ROUNDUP(I480*24/500,0)</f>
        <v>4</v>
      </c>
      <c r="J481" s="258"/>
      <c r="K481" s="259"/>
      <c r="L481" s="259"/>
      <c r="M481" s="259"/>
      <c r="N481" s="260"/>
      <c r="O481" s="216"/>
    </row>
    <row r="482" spans="1:18" x14ac:dyDescent="0.15">
      <c r="A482" s="35" t="str">
        <f>IF(G482&lt;&gt;"",1+MAX($A$6:A481),"")</f>
        <v/>
      </c>
      <c r="B482" s="104"/>
      <c r="C482" s="245"/>
      <c r="D482" s="246"/>
      <c r="E482" s="133" t="s">
        <v>55</v>
      </c>
      <c r="F482" s="135" t="s">
        <v>59</v>
      </c>
      <c r="G482" s="251"/>
      <c r="H482" s="252"/>
      <c r="I482" s="134">
        <f>ROUNDUP((I479)/200,0)</f>
        <v>12</v>
      </c>
      <c r="J482" s="258"/>
      <c r="K482" s="259"/>
      <c r="L482" s="259"/>
      <c r="M482" s="259"/>
      <c r="N482" s="260"/>
      <c r="O482" s="216"/>
    </row>
    <row r="483" spans="1:18" x14ac:dyDescent="0.15">
      <c r="A483" s="35" t="str">
        <f>IF(G483&lt;&gt;"",1+MAX($A$6:A482),"")</f>
        <v/>
      </c>
      <c r="B483" s="104"/>
      <c r="C483" s="247"/>
      <c r="D483" s="248"/>
      <c r="E483" s="133" t="s">
        <v>56</v>
      </c>
      <c r="F483" s="135" t="s">
        <v>60</v>
      </c>
      <c r="G483" s="253"/>
      <c r="H483" s="254"/>
      <c r="I483" s="134">
        <f>ROUNDUP((I479)*5.25/1000,0)</f>
        <v>13</v>
      </c>
      <c r="J483" s="261"/>
      <c r="K483" s="262"/>
      <c r="L483" s="262"/>
      <c r="M483" s="262"/>
      <c r="N483" s="263"/>
      <c r="O483" s="216"/>
    </row>
    <row r="484" spans="1:18" x14ac:dyDescent="0.15">
      <c r="A484" s="35">
        <f>IF(G484&lt;&gt;"",1+MAX($A$6:A483),"")</f>
        <v>345</v>
      </c>
      <c r="B484" s="104"/>
      <c r="C484" s="15"/>
      <c r="D484" s="57"/>
      <c r="E484" s="167" t="s">
        <v>270</v>
      </c>
      <c r="F484" s="126" t="s">
        <v>12</v>
      </c>
      <c r="G484" s="126">
        <f>122*9</f>
        <v>1098</v>
      </c>
      <c r="H484" s="8">
        <v>7.0000000000000007E-2</v>
      </c>
      <c r="I484" s="18">
        <f t="shared" si="146"/>
        <v>1174.8600000000001</v>
      </c>
      <c r="J484" s="194">
        <v>1</v>
      </c>
      <c r="K484" s="194">
        <v>1</v>
      </c>
      <c r="L484" s="219">
        <f>J484*I484</f>
        <v>1174.8600000000001</v>
      </c>
      <c r="M484" s="219">
        <f>K484*I484</f>
        <v>1174.8600000000001</v>
      </c>
      <c r="N484" s="20">
        <f t="shared" si="159"/>
        <v>2349.7200000000003</v>
      </c>
      <c r="O484" s="216"/>
    </row>
    <row r="485" spans="1:18" x14ac:dyDescent="0.15">
      <c r="A485" s="35">
        <f>IF(G485&lt;&gt;"",1+MAX($A$6:A484),"")</f>
        <v>346</v>
      </c>
      <c r="B485" s="104"/>
      <c r="C485" s="15"/>
      <c r="D485" s="14"/>
      <c r="E485" s="167" t="s">
        <v>263</v>
      </c>
      <c r="F485" s="126" t="s">
        <v>31</v>
      </c>
      <c r="G485" s="126">
        <v>93</v>
      </c>
      <c r="H485" s="8">
        <v>7.0000000000000007E-2</v>
      </c>
      <c r="I485" s="18">
        <f t="shared" si="146"/>
        <v>99.51</v>
      </c>
      <c r="J485" s="194">
        <v>45</v>
      </c>
      <c r="K485" s="194">
        <v>27</v>
      </c>
      <c r="L485" s="219">
        <f>J485*I485</f>
        <v>4477.95</v>
      </c>
      <c r="M485" s="219">
        <f>K485*I485</f>
        <v>2686.77</v>
      </c>
      <c r="N485" s="20">
        <f t="shared" si="159"/>
        <v>7164.7199999999993</v>
      </c>
      <c r="O485" s="216"/>
    </row>
    <row r="486" spans="1:18" s="109" customFormat="1" x14ac:dyDescent="0.15">
      <c r="A486" s="35">
        <f>IF(G486&lt;&gt;"",1+MAX($A$6:A485),"")</f>
        <v>347</v>
      </c>
      <c r="B486" s="104"/>
      <c r="C486" s="105"/>
      <c r="D486" s="120"/>
      <c r="E486" s="167" t="s">
        <v>271</v>
      </c>
      <c r="F486" s="126" t="s">
        <v>91</v>
      </c>
      <c r="G486" s="126">
        <f>122*2</f>
        <v>244</v>
      </c>
      <c r="H486" s="121">
        <v>7.0000000000000007E-2</v>
      </c>
      <c r="I486" s="107">
        <f t="shared" si="146"/>
        <v>261.08000000000004</v>
      </c>
      <c r="J486" s="194">
        <v>5</v>
      </c>
      <c r="K486" s="194">
        <v>3</v>
      </c>
      <c r="L486" s="219">
        <f>J486*I486</f>
        <v>1305.4000000000001</v>
      </c>
      <c r="M486" s="219">
        <f>K486*I486</f>
        <v>783.24000000000012</v>
      </c>
      <c r="N486" s="20">
        <f>L486+M486</f>
        <v>2088.6400000000003</v>
      </c>
      <c r="O486" s="222"/>
      <c r="P486" s="122"/>
      <c r="Q486" s="122"/>
      <c r="R486" s="122"/>
    </row>
    <row r="487" spans="1:18" x14ac:dyDescent="0.15">
      <c r="A487" s="35">
        <f>IF(G487&lt;&gt;"",1+MAX($A$6:A486),"")</f>
        <v>348</v>
      </c>
      <c r="B487" s="104"/>
      <c r="C487" s="105"/>
      <c r="D487" s="59"/>
      <c r="E487" s="167" t="s">
        <v>272</v>
      </c>
      <c r="F487" s="126" t="s">
        <v>91</v>
      </c>
      <c r="G487" s="126">
        <f>122*2</f>
        <v>244</v>
      </c>
      <c r="H487" s="8">
        <v>7.0000000000000007E-2</v>
      </c>
      <c r="I487" s="18">
        <f t="shared" si="146"/>
        <v>261.08000000000004</v>
      </c>
      <c r="J487" s="194">
        <v>1</v>
      </c>
      <c r="K487" s="194">
        <v>1</v>
      </c>
      <c r="L487" s="219">
        <f>J487*I487</f>
        <v>261.08000000000004</v>
      </c>
      <c r="M487" s="219">
        <f>K487*I487</f>
        <v>261.08000000000004</v>
      </c>
      <c r="N487" s="20">
        <f t="shared" ref="N487:N495" si="160">L487+M487</f>
        <v>522.16000000000008</v>
      </c>
      <c r="O487" s="216"/>
    </row>
    <row r="488" spans="1:18" x14ac:dyDescent="0.15">
      <c r="A488" s="35">
        <f>IF(G488&lt;&gt;"",1+MAX($A$6:A487),"")</f>
        <v>349</v>
      </c>
      <c r="B488" s="104"/>
      <c r="C488" s="15"/>
      <c r="D488" s="57"/>
      <c r="E488" s="167" t="s">
        <v>273</v>
      </c>
      <c r="F488" s="126" t="s">
        <v>91</v>
      </c>
      <c r="G488" s="126">
        <f>122*2</f>
        <v>244</v>
      </c>
      <c r="H488" s="8">
        <v>7.0000000000000007E-2</v>
      </c>
      <c r="I488" s="18">
        <f t="shared" si="146"/>
        <v>261.08000000000004</v>
      </c>
      <c r="J488" s="194">
        <v>1</v>
      </c>
      <c r="K488" s="194">
        <v>1</v>
      </c>
      <c r="L488" s="219">
        <f>J488*I488</f>
        <v>261.08000000000004</v>
      </c>
      <c r="M488" s="219">
        <f>K488*I488</f>
        <v>261.08000000000004</v>
      </c>
      <c r="N488" s="20">
        <f t="shared" si="160"/>
        <v>522.16000000000008</v>
      </c>
      <c r="O488" s="216"/>
    </row>
    <row r="489" spans="1:18" x14ac:dyDescent="0.15">
      <c r="A489" s="35">
        <f>IF(G489&lt;&gt;"",1+MAX($A$6:A488),"")</f>
        <v>350</v>
      </c>
      <c r="B489" s="104" t="s">
        <v>440</v>
      </c>
      <c r="C489" s="105"/>
      <c r="D489" s="59"/>
      <c r="E489" s="184" t="s">
        <v>294</v>
      </c>
      <c r="F489" s="130" t="s">
        <v>91</v>
      </c>
      <c r="G489" s="130">
        <v>349.82</v>
      </c>
      <c r="H489" s="185"/>
      <c r="I489" s="131"/>
      <c r="J489" s="219"/>
      <c r="K489" s="219"/>
      <c r="L489" s="219"/>
      <c r="M489" s="219"/>
      <c r="N489" s="132"/>
      <c r="O489" s="216"/>
    </row>
    <row r="490" spans="1:18" x14ac:dyDescent="0.15">
      <c r="A490" s="35">
        <f>IF(G490&lt;&gt;"",1+MAX($A$6:A489),"")</f>
        <v>351</v>
      </c>
      <c r="B490" s="104"/>
      <c r="C490" s="15"/>
      <c r="D490" s="57"/>
      <c r="E490" s="167" t="s">
        <v>295</v>
      </c>
      <c r="F490" s="126" t="s">
        <v>12</v>
      </c>
      <c r="G490" s="126">
        <f>350*9</f>
        <v>3150</v>
      </c>
      <c r="H490" s="8">
        <v>7.0000000000000007E-2</v>
      </c>
      <c r="I490" s="18">
        <f t="shared" ref="I490:I511" si="161">G490*(1+H490)</f>
        <v>3370.5</v>
      </c>
      <c r="J490" s="194">
        <v>2</v>
      </c>
      <c r="K490" s="194">
        <v>2</v>
      </c>
      <c r="L490" s="219">
        <f>J490*I490</f>
        <v>6741</v>
      </c>
      <c r="M490" s="219">
        <f>K490*I490</f>
        <v>6741</v>
      </c>
      <c r="N490" s="20">
        <f t="shared" si="160"/>
        <v>13482</v>
      </c>
      <c r="O490" s="216"/>
    </row>
    <row r="491" spans="1:18" x14ac:dyDescent="0.15">
      <c r="A491" s="35" t="str">
        <f>IF(G491&lt;&gt;"",1+MAX($A$6:A490),"")</f>
        <v/>
      </c>
      <c r="B491" s="104"/>
      <c r="C491" s="243"/>
      <c r="D491" s="244"/>
      <c r="E491" s="133" t="s">
        <v>53</v>
      </c>
      <c r="F491" s="135" t="s">
        <v>57</v>
      </c>
      <c r="G491" s="249"/>
      <c r="H491" s="250"/>
      <c r="I491" s="134">
        <f>ROUNDUP((I490)/32,0)</f>
        <v>106</v>
      </c>
      <c r="J491" s="255"/>
      <c r="K491" s="256"/>
      <c r="L491" s="256"/>
      <c r="M491" s="256"/>
      <c r="N491" s="257"/>
      <c r="O491" s="216"/>
    </row>
    <row r="492" spans="1:18" x14ac:dyDescent="0.15">
      <c r="A492" s="35" t="str">
        <f>IF(G492&lt;&gt;"",1+MAX($A$6:A491),"")</f>
        <v/>
      </c>
      <c r="B492" s="104"/>
      <c r="C492" s="245"/>
      <c r="D492" s="246"/>
      <c r="E492" s="133" t="s">
        <v>54</v>
      </c>
      <c r="F492" s="135" t="s">
        <v>58</v>
      </c>
      <c r="G492" s="251"/>
      <c r="H492" s="252"/>
      <c r="I492" s="134">
        <f>ROUNDUP(I491*24/500,0)</f>
        <v>6</v>
      </c>
      <c r="J492" s="258"/>
      <c r="K492" s="259"/>
      <c r="L492" s="259"/>
      <c r="M492" s="259"/>
      <c r="N492" s="260"/>
      <c r="O492" s="216"/>
    </row>
    <row r="493" spans="1:18" x14ac:dyDescent="0.15">
      <c r="A493" s="35" t="str">
        <f>IF(G493&lt;&gt;"",1+MAX($A$6:A492),"")</f>
        <v/>
      </c>
      <c r="B493" s="104"/>
      <c r="C493" s="245"/>
      <c r="D493" s="246"/>
      <c r="E493" s="133" t="s">
        <v>55</v>
      </c>
      <c r="F493" s="135" t="s">
        <v>59</v>
      </c>
      <c r="G493" s="251"/>
      <c r="H493" s="252"/>
      <c r="I493" s="134">
        <f>ROUNDUP((I490)/200,0)</f>
        <v>17</v>
      </c>
      <c r="J493" s="258"/>
      <c r="K493" s="259"/>
      <c r="L493" s="259"/>
      <c r="M493" s="259"/>
      <c r="N493" s="260"/>
      <c r="O493" s="216"/>
    </row>
    <row r="494" spans="1:18" x14ac:dyDescent="0.15">
      <c r="A494" s="35" t="str">
        <f>IF(G494&lt;&gt;"",1+MAX($A$6:A493),"")</f>
        <v/>
      </c>
      <c r="B494" s="104"/>
      <c r="C494" s="247"/>
      <c r="D494" s="248"/>
      <c r="E494" s="133" t="s">
        <v>56</v>
      </c>
      <c r="F494" s="135" t="s">
        <v>60</v>
      </c>
      <c r="G494" s="253"/>
      <c r="H494" s="254"/>
      <c r="I494" s="134">
        <f>ROUNDUP((I490)*5.25/1000,0)</f>
        <v>18</v>
      </c>
      <c r="J494" s="261"/>
      <c r="K494" s="262"/>
      <c r="L494" s="262"/>
      <c r="M494" s="262"/>
      <c r="N494" s="263"/>
      <c r="O494" s="216"/>
    </row>
    <row r="495" spans="1:18" x14ac:dyDescent="0.15">
      <c r="A495" s="35">
        <f>IF(G495&lt;&gt;"",1+MAX($A$6:A494),"")</f>
        <v>352</v>
      </c>
      <c r="B495" s="104"/>
      <c r="C495" s="15"/>
      <c r="D495" s="14"/>
      <c r="E495" s="167" t="s">
        <v>296</v>
      </c>
      <c r="F495" s="126" t="s">
        <v>12</v>
      </c>
      <c r="G495" s="126">
        <f>350*9</f>
        <v>3150</v>
      </c>
      <c r="H495" s="8">
        <v>7.0000000000000007E-2</v>
      </c>
      <c r="I495" s="18">
        <f t="shared" si="161"/>
        <v>3370.5</v>
      </c>
      <c r="J495" s="194">
        <v>1</v>
      </c>
      <c r="K495" s="194">
        <v>1</v>
      </c>
      <c r="L495" s="219">
        <f t="shared" ref="L495:L500" si="162">J495*I495</f>
        <v>3370.5</v>
      </c>
      <c r="M495" s="219">
        <f t="shared" ref="M495:M500" si="163">K495*I495</f>
        <v>3370.5</v>
      </c>
      <c r="N495" s="20">
        <f t="shared" si="160"/>
        <v>6741</v>
      </c>
      <c r="O495" s="216"/>
    </row>
    <row r="496" spans="1:18" s="109" customFormat="1" x14ac:dyDescent="0.15">
      <c r="A496" s="35">
        <f>IF(G496&lt;&gt;"",1+MAX($A$6:A495),"")</f>
        <v>353</v>
      </c>
      <c r="B496" s="104"/>
      <c r="C496" s="105"/>
      <c r="D496" s="120"/>
      <c r="E496" s="167" t="s">
        <v>297</v>
      </c>
      <c r="F496" s="126" t="s">
        <v>12</v>
      </c>
      <c r="G496" s="126">
        <f>350*9</f>
        <v>3150</v>
      </c>
      <c r="H496" s="121">
        <v>7.0000000000000007E-2</v>
      </c>
      <c r="I496" s="107">
        <f t="shared" si="161"/>
        <v>3370.5</v>
      </c>
      <c r="J496" s="194">
        <v>1</v>
      </c>
      <c r="K496" s="194">
        <v>1</v>
      </c>
      <c r="L496" s="219">
        <f t="shared" si="162"/>
        <v>3370.5</v>
      </c>
      <c r="M496" s="219">
        <f t="shared" si="163"/>
        <v>3370.5</v>
      </c>
      <c r="N496" s="20">
        <f>L496+M496</f>
        <v>6741</v>
      </c>
      <c r="O496" s="222"/>
      <c r="P496" s="122"/>
      <c r="Q496" s="122"/>
      <c r="R496" s="122"/>
    </row>
    <row r="497" spans="1:18" x14ac:dyDescent="0.15">
      <c r="A497" s="35">
        <f>IF(G497&lt;&gt;"",1+MAX($A$6:A496),"")</f>
        <v>354</v>
      </c>
      <c r="B497" s="104"/>
      <c r="C497" s="105"/>
      <c r="D497" s="59"/>
      <c r="E497" s="167" t="s">
        <v>275</v>
      </c>
      <c r="F497" s="126" t="s">
        <v>31</v>
      </c>
      <c r="G497" s="126">
        <v>265</v>
      </c>
      <c r="H497" s="8">
        <v>7.0000000000000007E-2</v>
      </c>
      <c r="I497" s="18">
        <f t="shared" si="161"/>
        <v>283.55</v>
      </c>
      <c r="J497" s="194">
        <v>36</v>
      </c>
      <c r="K497" s="194">
        <v>18</v>
      </c>
      <c r="L497" s="219">
        <f t="shared" si="162"/>
        <v>10207.800000000001</v>
      </c>
      <c r="M497" s="219">
        <f t="shared" si="163"/>
        <v>5103.9000000000005</v>
      </c>
      <c r="N497" s="20">
        <f t="shared" ref="N497:N499" si="164">L497+M497</f>
        <v>15311.7</v>
      </c>
      <c r="O497" s="216"/>
    </row>
    <row r="498" spans="1:18" x14ac:dyDescent="0.15">
      <c r="A498" s="35">
        <f>IF(G498&lt;&gt;"",1+MAX($A$6:A497),"")</f>
        <v>355</v>
      </c>
      <c r="B498" s="104"/>
      <c r="C498" s="15"/>
      <c r="D498" s="57"/>
      <c r="E498" s="167" t="s">
        <v>298</v>
      </c>
      <c r="F498" s="126" t="s">
        <v>91</v>
      </c>
      <c r="G498" s="126">
        <f>350*4</f>
        <v>1400</v>
      </c>
      <c r="H498" s="8">
        <v>7.0000000000000007E-2</v>
      </c>
      <c r="I498" s="18">
        <f t="shared" si="161"/>
        <v>1498</v>
      </c>
      <c r="J498" s="194">
        <v>4</v>
      </c>
      <c r="K498" s="194">
        <v>2</v>
      </c>
      <c r="L498" s="219">
        <f t="shared" si="162"/>
        <v>5992</v>
      </c>
      <c r="M498" s="219">
        <f t="shared" si="163"/>
        <v>2996</v>
      </c>
      <c r="N498" s="20">
        <f t="shared" si="164"/>
        <v>8988</v>
      </c>
      <c r="O498" s="216"/>
    </row>
    <row r="499" spans="1:18" x14ac:dyDescent="0.15">
      <c r="A499" s="35">
        <f>IF(G499&lt;&gt;"",1+MAX($A$6:A498),"")</f>
        <v>356</v>
      </c>
      <c r="B499" s="104"/>
      <c r="C499" s="15"/>
      <c r="D499" s="14"/>
      <c r="E499" s="167" t="s">
        <v>299</v>
      </c>
      <c r="F499" s="126" t="s">
        <v>91</v>
      </c>
      <c r="G499" s="126">
        <v>350</v>
      </c>
      <c r="H499" s="8">
        <v>7.0000000000000007E-2</v>
      </c>
      <c r="I499" s="18">
        <f t="shared" si="161"/>
        <v>374.5</v>
      </c>
      <c r="J499" s="194">
        <v>1</v>
      </c>
      <c r="K499" s="194">
        <v>1</v>
      </c>
      <c r="L499" s="219">
        <f t="shared" si="162"/>
        <v>374.5</v>
      </c>
      <c r="M499" s="219">
        <f t="shared" si="163"/>
        <v>374.5</v>
      </c>
      <c r="N499" s="20">
        <f t="shared" si="164"/>
        <v>749</v>
      </c>
      <c r="O499" s="216"/>
    </row>
    <row r="500" spans="1:18" s="109" customFormat="1" ht="15.75" thickBot="1" x14ac:dyDescent="0.2">
      <c r="A500" s="35">
        <f>IF(G500&lt;&gt;"",1+MAX($A$6:A499),"")</f>
        <v>357</v>
      </c>
      <c r="B500" s="104"/>
      <c r="C500" s="105"/>
      <c r="D500" s="120"/>
      <c r="E500" s="167" t="s">
        <v>300</v>
      </c>
      <c r="F500" s="126" t="s">
        <v>91</v>
      </c>
      <c r="G500" s="126">
        <v>350</v>
      </c>
      <c r="H500" s="121">
        <v>7.0000000000000007E-2</v>
      </c>
      <c r="I500" s="107">
        <f t="shared" si="161"/>
        <v>374.5</v>
      </c>
      <c r="J500" s="194">
        <v>1</v>
      </c>
      <c r="K500" s="194">
        <v>1</v>
      </c>
      <c r="L500" s="219">
        <f t="shared" si="162"/>
        <v>374.5</v>
      </c>
      <c r="M500" s="219">
        <f t="shared" si="163"/>
        <v>374.5</v>
      </c>
      <c r="N500" s="20">
        <f>L500+M500</f>
        <v>749</v>
      </c>
      <c r="O500" s="222"/>
      <c r="P500" s="122"/>
      <c r="Q500" s="122"/>
      <c r="R500" s="122"/>
    </row>
    <row r="501" spans="1:18" ht="15.75" thickBot="1" x14ac:dyDescent="0.2">
      <c r="A501" s="35" t="str">
        <f>IF(G501&lt;&gt;"",1+MAX($A$6:A500),"")</f>
        <v/>
      </c>
      <c r="B501" s="104"/>
      <c r="C501" s="42"/>
      <c r="D501" s="120"/>
      <c r="E501" s="240" t="s">
        <v>62</v>
      </c>
      <c r="F501" s="241"/>
      <c r="G501" s="242"/>
      <c r="H501" s="44"/>
      <c r="I501" s="45"/>
      <c r="J501" s="214"/>
      <c r="K501" s="214"/>
      <c r="L501" s="214"/>
      <c r="M501" s="214"/>
      <c r="N501" s="215"/>
      <c r="O501" s="216"/>
    </row>
    <row r="502" spans="1:18" x14ac:dyDescent="0.15">
      <c r="A502" s="35">
        <f>IF(G502&lt;&gt;"",1+MAX($A$6:A501),"")</f>
        <v>358</v>
      </c>
      <c r="B502" s="104" t="s">
        <v>440</v>
      </c>
      <c r="C502" s="15"/>
      <c r="D502" s="57"/>
      <c r="E502" s="167" t="s">
        <v>52</v>
      </c>
      <c r="F502" s="126" t="s">
        <v>12</v>
      </c>
      <c r="G502" s="126">
        <v>3612.24</v>
      </c>
      <c r="H502" s="8">
        <v>7.0000000000000007E-2</v>
      </c>
      <c r="I502" s="18">
        <f t="shared" si="161"/>
        <v>3865.0967999999998</v>
      </c>
      <c r="J502" s="194">
        <v>14</v>
      </c>
      <c r="K502" s="194">
        <v>6</v>
      </c>
      <c r="L502" s="219">
        <f>J502*I502</f>
        <v>54111.355199999998</v>
      </c>
      <c r="M502" s="219">
        <f>K502*I502</f>
        <v>23190.5808</v>
      </c>
      <c r="N502" s="20">
        <f t="shared" ref="N502:N504" si="165">L502+M502</f>
        <v>77301.936000000002</v>
      </c>
      <c r="O502" s="216"/>
    </row>
    <row r="503" spans="1:18" x14ac:dyDescent="0.15">
      <c r="A503" s="35">
        <f>IF(G503&lt;&gt;"",1+MAX($A$6:A502),"")</f>
        <v>359</v>
      </c>
      <c r="B503" s="104" t="s">
        <v>440</v>
      </c>
      <c r="C503" s="15"/>
      <c r="D503" s="57"/>
      <c r="E503" s="167" t="s">
        <v>301</v>
      </c>
      <c r="F503" s="126" t="s">
        <v>12</v>
      </c>
      <c r="G503" s="126">
        <v>10946.38</v>
      </c>
      <c r="H503" s="8">
        <v>7.0000000000000007E-2</v>
      </c>
      <c r="I503" s="18">
        <f t="shared" si="161"/>
        <v>11712.6266</v>
      </c>
      <c r="J503" s="194">
        <v>4</v>
      </c>
      <c r="K503" s="194">
        <v>4</v>
      </c>
      <c r="L503" s="219">
        <f>J503*I503</f>
        <v>46850.506399999998</v>
      </c>
      <c r="M503" s="219">
        <f>K503*I503</f>
        <v>46850.506399999998</v>
      </c>
      <c r="N503" s="20">
        <f t="shared" si="165"/>
        <v>93701.012799999997</v>
      </c>
      <c r="O503" s="216"/>
    </row>
    <row r="504" spans="1:18" x14ac:dyDescent="0.15">
      <c r="A504" s="35">
        <f>IF(G504&lt;&gt;"",1+MAX($A$6:A503),"")</f>
        <v>360</v>
      </c>
      <c r="B504" s="104" t="s">
        <v>440</v>
      </c>
      <c r="C504" s="15"/>
      <c r="D504" s="14"/>
      <c r="E504" s="167" t="s">
        <v>302</v>
      </c>
      <c r="F504" s="126" t="s">
        <v>12</v>
      </c>
      <c r="G504" s="126">
        <v>24959.51</v>
      </c>
      <c r="H504" s="8">
        <v>7.0000000000000007E-2</v>
      </c>
      <c r="I504" s="18">
        <f t="shared" si="161"/>
        <v>26706.6757</v>
      </c>
      <c r="J504" s="194">
        <v>10</v>
      </c>
      <c r="K504" s="194">
        <v>5</v>
      </c>
      <c r="L504" s="219">
        <f>J504*I504</f>
        <v>267066.75699999998</v>
      </c>
      <c r="M504" s="219">
        <f>K504*I504</f>
        <v>133533.37849999999</v>
      </c>
      <c r="N504" s="20">
        <f t="shared" si="165"/>
        <v>400600.13549999997</v>
      </c>
      <c r="O504" s="216"/>
    </row>
    <row r="505" spans="1:18" s="109" customFormat="1" ht="15.75" thickBot="1" x14ac:dyDescent="0.2">
      <c r="A505" s="35">
        <f>IF(G505&lt;&gt;"",1+MAX($A$6:A504),"")</f>
        <v>361</v>
      </c>
      <c r="B505" s="104" t="s">
        <v>440</v>
      </c>
      <c r="C505" s="105"/>
      <c r="D505" s="120"/>
      <c r="E505" s="167" t="s">
        <v>303</v>
      </c>
      <c r="F505" s="126" t="s">
        <v>91</v>
      </c>
      <c r="G505" s="126">
        <v>5172.22</v>
      </c>
      <c r="H505" s="121">
        <v>7.0000000000000007E-2</v>
      </c>
      <c r="I505" s="107">
        <f t="shared" si="161"/>
        <v>5534.2754000000004</v>
      </c>
      <c r="J505" s="194">
        <v>8</v>
      </c>
      <c r="K505" s="194">
        <v>4</v>
      </c>
      <c r="L505" s="219">
        <f>J505*I505</f>
        <v>44274.203200000004</v>
      </c>
      <c r="M505" s="219">
        <f>K505*I505</f>
        <v>22137.101600000002</v>
      </c>
      <c r="N505" s="20">
        <f>L505+M505</f>
        <v>66411.304800000013</v>
      </c>
      <c r="O505" s="222"/>
      <c r="P505" s="122"/>
      <c r="Q505" s="122"/>
      <c r="R505" s="122"/>
    </row>
    <row r="506" spans="1:18" ht="15.75" thickBot="1" x14ac:dyDescent="0.2">
      <c r="A506" s="35" t="str">
        <f>IF(G506&lt;&gt;"",1+MAX($A$6:A505),"")</f>
        <v/>
      </c>
      <c r="B506" s="104"/>
      <c r="C506" s="42"/>
      <c r="D506" s="120"/>
      <c r="E506" s="240" t="s">
        <v>61</v>
      </c>
      <c r="F506" s="241"/>
      <c r="G506" s="242"/>
      <c r="H506" s="44"/>
      <c r="I506" s="45"/>
      <c r="J506" s="214"/>
      <c r="K506" s="214"/>
      <c r="L506" s="214"/>
      <c r="M506" s="214"/>
      <c r="N506" s="215"/>
      <c r="O506" s="216"/>
    </row>
    <row r="507" spans="1:18" x14ac:dyDescent="0.15">
      <c r="A507" s="35">
        <f>IF(G507&lt;&gt;"",1+MAX($A$6:A506),"")</f>
        <v>362</v>
      </c>
      <c r="B507" s="104" t="s">
        <v>442</v>
      </c>
      <c r="C507" s="105"/>
      <c r="D507" s="59"/>
      <c r="E507" s="167" t="s">
        <v>304</v>
      </c>
      <c r="F507" s="126" t="s">
        <v>12</v>
      </c>
      <c r="G507" s="126">
        <v>22679.09</v>
      </c>
      <c r="H507" s="8">
        <v>7.0000000000000007E-2</v>
      </c>
      <c r="I507" s="18">
        <f t="shared" si="161"/>
        <v>24266.6263</v>
      </c>
      <c r="J507" s="194">
        <v>5</v>
      </c>
      <c r="K507" s="194">
        <v>3</v>
      </c>
      <c r="L507" s="219">
        <f>J507*I507</f>
        <v>121333.1315</v>
      </c>
      <c r="M507" s="219">
        <f>K507*I507</f>
        <v>72799.878899999996</v>
      </c>
      <c r="N507" s="20">
        <f t="shared" ref="N507:N509" si="166">L507+M507</f>
        <v>194133.0104</v>
      </c>
      <c r="O507" s="216"/>
    </row>
    <row r="508" spans="1:18" x14ac:dyDescent="0.15">
      <c r="A508" s="35">
        <f>IF(G508&lt;&gt;"",1+MAX($A$6:A507),"")</f>
        <v>363</v>
      </c>
      <c r="B508" s="104" t="s">
        <v>442</v>
      </c>
      <c r="C508" s="15"/>
      <c r="D508" s="57"/>
      <c r="E508" s="167" t="s">
        <v>305</v>
      </c>
      <c r="F508" s="126" t="s">
        <v>12</v>
      </c>
      <c r="G508" s="126">
        <v>2195.23</v>
      </c>
      <c r="H508" s="8">
        <v>7.0000000000000007E-2</v>
      </c>
      <c r="I508" s="18">
        <f t="shared" si="161"/>
        <v>2348.8960999999999</v>
      </c>
      <c r="J508" s="194">
        <v>8</v>
      </c>
      <c r="K508" s="194">
        <v>4</v>
      </c>
      <c r="L508" s="219">
        <f>J508*I508</f>
        <v>18791.168799999999</v>
      </c>
      <c r="M508" s="219">
        <f>K508*I508</f>
        <v>9395.5843999999997</v>
      </c>
      <c r="N508" s="20">
        <f t="shared" si="166"/>
        <v>28186.753199999999</v>
      </c>
      <c r="O508" s="216"/>
    </row>
    <row r="509" spans="1:18" x14ac:dyDescent="0.15">
      <c r="A509" s="35">
        <f>IF(G509&lt;&gt;"",1+MAX($A$6:A508),"")</f>
        <v>364</v>
      </c>
      <c r="B509" s="104" t="s">
        <v>442</v>
      </c>
      <c r="C509" s="15"/>
      <c r="D509" s="14"/>
      <c r="E509" s="167" t="s">
        <v>306</v>
      </c>
      <c r="F509" s="126" t="s">
        <v>12</v>
      </c>
      <c r="G509" s="126">
        <v>74.569999999999993</v>
      </c>
      <c r="H509" s="8">
        <v>7.0000000000000007E-2</v>
      </c>
      <c r="I509" s="18">
        <f t="shared" si="161"/>
        <v>79.789900000000003</v>
      </c>
      <c r="J509" s="194">
        <v>5</v>
      </c>
      <c r="K509" s="194">
        <v>3</v>
      </c>
      <c r="L509" s="219">
        <f>J509*I509</f>
        <v>398.9495</v>
      </c>
      <c r="M509" s="219">
        <f>K509*I509</f>
        <v>239.36970000000002</v>
      </c>
      <c r="N509" s="20">
        <f t="shared" si="166"/>
        <v>638.31920000000002</v>
      </c>
      <c r="O509" s="216"/>
    </row>
    <row r="510" spans="1:18" s="109" customFormat="1" x14ac:dyDescent="0.15">
      <c r="A510" s="35">
        <f>IF(G510&lt;&gt;"",1+MAX($A$6:A509),"")</f>
        <v>365</v>
      </c>
      <c r="B510" s="104" t="s">
        <v>442</v>
      </c>
      <c r="C510" s="105"/>
      <c r="D510" s="120"/>
      <c r="E510" s="167" t="s">
        <v>307</v>
      </c>
      <c r="F510" s="126" t="s">
        <v>12</v>
      </c>
      <c r="G510" s="126">
        <v>10830.87</v>
      </c>
      <c r="H510" s="121">
        <v>7.0000000000000007E-2</v>
      </c>
      <c r="I510" s="107">
        <f t="shared" si="161"/>
        <v>11589.030900000002</v>
      </c>
      <c r="J510" s="194">
        <v>5</v>
      </c>
      <c r="K510" s="194">
        <v>3</v>
      </c>
      <c r="L510" s="219">
        <f>J510*I510</f>
        <v>57945.154500000004</v>
      </c>
      <c r="M510" s="219">
        <f>K510*I510</f>
        <v>34767.092700000008</v>
      </c>
      <c r="N510" s="20">
        <f>L510+M510</f>
        <v>92712.247200000013</v>
      </c>
      <c r="O510" s="222"/>
      <c r="P510" s="122"/>
      <c r="Q510" s="122"/>
      <c r="R510" s="122"/>
    </row>
    <row r="511" spans="1:18" ht="15.75" thickBot="1" x14ac:dyDescent="0.2">
      <c r="A511" s="35">
        <f>IF(G511&lt;&gt;"",1+MAX($A$6:A510),"")</f>
        <v>366</v>
      </c>
      <c r="B511" s="104" t="s">
        <v>442</v>
      </c>
      <c r="C511" s="105"/>
      <c r="D511" s="59"/>
      <c r="E511" s="167" t="s">
        <v>308</v>
      </c>
      <c r="F511" s="126" t="s">
        <v>12</v>
      </c>
      <c r="G511" s="126">
        <v>3064.28</v>
      </c>
      <c r="H511" s="8">
        <v>7.0000000000000007E-2</v>
      </c>
      <c r="I511" s="18">
        <f t="shared" si="161"/>
        <v>3278.7796000000003</v>
      </c>
      <c r="J511" s="194">
        <v>6</v>
      </c>
      <c r="K511" s="194">
        <v>4</v>
      </c>
      <c r="L511" s="219">
        <f>J511*I511</f>
        <v>19672.677600000003</v>
      </c>
      <c r="M511" s="219">
        <f>K511*I511</f>
        <v>13115.118400000001</v>
      </c>
      <c r="N511" s="20">
        <f t="shared" ref="N511" si="167">L511+M511</f>
        <v>32787.796000000002</v>
      </c>
      <c r="O511" s="216"/>
    </row>
    <row r="512" spans="1:18" ht="15.75" thickBot="1" x14ac:dyDescent="0.2">
      <c r="A512" s="35" t="str">
        <f>IF(G512&lt;&gt;"",1+MAX($A$6:A511),"")</f>
        <v/>
      </c>
      <c r="B512" s="104"/>
      <c r="C512" s="42"/>
      <c r="D512" s="59"/>
      <c r="E512" s="240" t="s">
        <v>63</v>
      </c>
      <c r="F512" s="241"/>
      <c r="G512" s="242"/>
      <c r="H512" s="44"/>
      <c r="I512" s="45"/>
      <c r="J512" s="214"/>
      <c r="K512" s="214"/>
      <c r="L512" s="214"/>
      <c r="M512" s="214"/>
      <c r="N512" s="215"/>
      <c r="O512" s="216"/>
    </row>
    <row r="513" spans="1:18" x14ac:dyDescent="0.15">
      <c r="A513" s="35">
        <f>IF(G513&lt;&gt;"",1+MAX($A$6:A512),"")</f>
        <v>367</v>
      </c>
      <c r="B513" s="104" t="s">
        <v>440</v>
      </c>
      <c r="C513" s="15"/>
      <c r="D513" s="14"/>
      <c r="E513" s="47" t="s">
        <v>64</v>
      </c>
      <c r="F513" s="173" t="s">
        <v>12</v>
      </c>
      <c r="G513" s="13">
        <v>33585</v>
      </c>
      <c r="H513" s="8">
        <v>7.0000000000000007E-2</v>
      </c>
      <c r="I513" s="18">
        <f t="shared" ref="I513:I516" si="168">G513*(1+H513)</f>
        <v>35935.950000000004</v>
      </c>
      <c r="J513" s="194">
        <v>1.5</v>
      </c>
      <c r="K513" s="194">
        <v>1.5</v>
      </c>
      <c r="L513" s="219">
        <f>J513*I513</f>
        <v>53903.925000000003</v>
      </c>
      <c r="M513" s="219">
        <f>K513*I513</f>
        <v>53903.925000000003</v>
      </c>
      <c r="N513" s="20">
        <f t="shared" ref="N513" si="169">L513+M513</f>
        <v>107807.85</v>
      </c>
      <c r="O513" s="216"/>
    </row>
    <row r="514" spans="1:18" s="109" customFormat="1" x14ac:dyDescent="0.15">
      <c r="A514" s="35">
        <f>IF(G514&lt;&gt;"",1+MAX($A$6:A513),"")</f>
        <v>368</v>
      </c>
      <c r="B514" s="104" t="s">
        <v>440</v>
      </c>
      <c r="C514" s="105"/>
      <c r="D514" s="120"/>
      <c r="E514" s="123" t="s">
        <v>65</v>
      </c>
      <c r="F514" s="108" t="s">
        <v>12</v>
      </c>
      <c r="G514" s="124">
        <v>86490</v>
      </c>
      <c r="H514" s="121">
        <v>7.0000000000000007E-2</v>
      </c>
      <c r="I514" s="107">
        <f t="shared" si="168"/>
        <v>92544.3</v>
      </c>
      <c r="J514" s="194">
        <v>1.5</v>
      </c>
      <c r="K514" s="194">
        <v>1.5</v>
      </c>
      <c r="L514" s="219">
        <f>J514*I514</f>
        <v>138816.45000000001</v>
      </c>
      <c r="M514" s="219">
        <f>K514*I514</f>
        <v>138816.45000000001</v>
      </c>
      <c r="N514" s="20">
        <f>L514+M514</f>
        <v>277632.90000000002</v>
      </c>
      <c r="O514" s="222"/>
      <c r="P514" s="122"/>
      <c r="Q514" s="122"/>
      <c r="R514" s="122"/>
    </row>
    <row r="515" spans="1:18" x14ac:dyDescent="0.15">
      <c r="A515" s="35">
        <f>IF(G515&lt;&gt;"",1+MAX($A$6:A514),"")</f>
        <v>369</v>
      </c>
      <c r="B515" s="104" t="s">
        <v>440</v>
      </c>
      <c r="C515" s="105"/>
      <c r="D515" s="59"/>
      <c r="E515" s="58" t="s">
        <v>66</v>
      </c>
      <c r="F515" s="99" t="s">
        <v>31</v>
      </c>
      <c r="G515" s="124">
        <v>120</v>
      </c>
      <c r="H515" s="8">
        <v>7.0000000000000007E-2</v>
      </c>
      <c r="I515" s="18">
        <f t="shared" si="168"/>
        <v>128.4</v>
      </c>
      <c r="J515" s="194">
        <v>120</v>
      </c>
      <c r="K515" s="194">
        <v>80</v>
      </c>
      <c r="L515" s="219">
        <f>J515*I515</f>
        <v>15408</v>
      </c>
      <c r="M515" s="219">
        <f>K515*I515</f>
        <v>10272</v>
      </c>
      <c r="N515" s="20">
        <f t="shared" ref="N515:N516" si="170">L515+M515</f>
        <v>25680</v>
      </c>
      <c r="O515" s="216"/>
    </row>
    <row r="516" spans="1:18" x14ac:dyDescent="0.15">
      <c r="A516" s="35">
        <f>IF(G516&lt;&gt;"",1+MAX($A$6:A515),"")</f>
        <v>370</v>
      </c>
      <c r="B516" s="104" t="s">
        <v>440</v>
      </c>
      <c r="C516" s="15"/>
      <c r="D516" s="57"/>
      <c r="E516" s="167" t="s">
        <v>443</v>
      </c>
      <c r="F516" s="126" t="s">
        <v>12</v>
      </c>
      <c r="G516" s="126">
        <v>1867.23</v>
      </c>
      <c r="H516" s="8">
        <v>7.0000000000000007E-2</v>
      </c>
      <c r="I516" s="18">
        <f t="shared" si="168"/>
        <v>1997.9361000000001</v>
      </c>
      <c r="J516" s="194">
        <v>2</v>
      </c>
      <c r="K516" s="194">
        <v>2</v>
      </c>
      <c r="L516" s="219">
        <f>J516*I516</f>
        <v>3995.8722000000002</v>
      </c>
      <c r="M516" s="219">
        <f>K516*I516</f>
        <v>3995.8722000000002</v>
      </c>
      <c r="N516" s="20">
        <f t="shared" si="170"/>
        <v>7991.7444000000005</v>
      </c>
      <c r="O516" s="216"/>
    </row>
    <row r="517" spans="1:18" ht="15.75" thickBot="1" x14ac:dyDescent="0.2">
      <c r="A517" s="35" t="str">
        <f>IF(G517&lt;&gt;"",1+MAX($A$6:A516),"")</f>
        <v/>
      </c>
      <c r="B517" s="104"/>
      <c r="C517" s="15"/>
      <c r="D517" s="61"/>
      <c r="E517" s="58"/>
      <c r="F517" s="99"/>
      <c r="G517" s="13"/>
      <c r="H517" s="8"/>
      <c r="I517" s="18"/>
      <c r="J517" s="220"/>
      <c r="K517" s="220"/>
      <c r="L517" s="220"/>
      <c r="M517" s="220"/>
      <c r="N517" s="20"/>
      <c r="O517" s="216"/>
    </row>
    <row r="518" spans="1:18" ht="15.75" thickBot="1" x14ac:dyDescent="0.2">
      <c r="A518" s="35" t="str">
        <f>IF(G518&lt;&gt;"",1+MAX($A$6:A517),"")</f>
        <v/>
      </c>
      <c r="B518" s="106"/>
      <c r="C518" s="14"/>
      <c r="D518" s="62"/>
      <c r="E518" s="63" t="s">
        <v>38</v>
      </c>
      <c r="F518" s="99"/>
      <c r="G518" s="56"/>
      <c r="H518" s="64"/>
      <c r="I518" s="18"/>
      <c r="J518" s="224"/>
      <c r="K518" s="224"/>
      <c r="L518" s="224"/>
      <c r="M518" s="224"/>
      <c r="N518" s="65"/>
      <c r="O518" s="66">
        <f>SUM(N383:N517)</f>
        <v>2694718.8694999996</v>
      </c>
      <c r="P518" s="67"/>
    </row>
    <row r="519" spans="1:18" ht="15.75" thickBot="1" x14ac:dyDescent="0.2">
      <c r="A519" s="35" t="str">
        <f>IF(G519&lt;&gt;"",1+MAX($A$6:A518),"")</f>
        <v/>
      </c>
      <c r="B519" s="104"/>
      <c r="C519" s="15"/>
      <c r="D519" s="61"/>
      <c r="E519" s="47"/>
      <c r="F519" s="99"/>
      <c r="G519" s="13"/>
      <c r="H519" s="8"/>
      <c r="I519" s="18"/>
      <c r="J519" s="220"/>
      <c r="K519" s="220"/>
      <c r="L519" s="220"/>
      <c r="M519" s="220"/>
      <c r="N519" s="20"/>
      <c r="O519" s="216"/>
    </row>
    <row r="520" spans="1:18" s="41" customFormat="1" ht="15.75" thickBot="1" x14ac:dyDescent="0.2">
      <c r="A520" s="35" t="str">
        <f>IF(G520&lt;&gt;"",1+MAX($A$6:A519),"")</f>
        <v/>
      </c>
      <c r="B520" s="112"/>
      <c r="C520" s="36"/>
      <c r="D520" s="37" t="s">
        <v>67</v>
      </c>
      <c r="E520" s="38" t="s">
        <v>68</v>
      </c>
      <c r="F520" s="40"/>
      <c r="G520" s="39"/>
      <c r="H520" s="40"/>
      <c r="I520" s="40"/>
      <c r="J520" s="225"/>
      <c r="K520" s="225"/>
      <c r="L520" s="225"/>
      <c r="M520" s="225"/>
      <c r="N520" s="226"/>
      <c r="O520" s="213"/>
      <c r="P520" s="125"/>
    </row>
    <row r="521" spans="1:18" ht="15.75" thickBot="1" x14ac:dyDescent="0.2">
      <c r="A521" s="35" t="str">
        <f>IF(G521&lt;&gt;"",1+MAX($A$6:A520),"")</f>
        <v/>
      </c>
      <c r="B521" s="104"/>
      <c r="C521" s="42"/>
      <c r="D521" s="43"/>
      <c r="E521" s="240" t="s">
        <v>69</v>
      </c>
      <c r="F521" s="241"/>
      <c r="G521" s="242"/>
      <c r="H521" s="44"/>
      <c r="I521" s="45"/>
      <c r="J521" s="214"/>
      <c r="K521" s="214"/>
      <c r="L521" s="214"/>
      <c r="M521" s="214"/>
      <c r="N521" s="215"/>
      <c r="O521" s="216"/>
    </row>
    <row r="522" spans="1:18" x14ac:dyDescent="0.15">
      <c r="A522" s="35">
        <f>IF(G522&lt;&gt;"",1+MAX($A$6:A521),"")</f>
        <v>371</v>
      </c>
      <c r="B522" s="104" t="s">
        <v>440</v>
      </c>
      <c r="C522" s="15"/>
      <c r="D522" s="57"/>
      <c r="E522" s="167" t="s">
        <v>70</v>
      </c>
      <c r="F522" s="126" t="s">
        <v>12</v>
      </c>
      <c r="G522" s="126">
        <v>747.94</v>
      </c>
      <c r="H522" s="8">
        <v>7.0000000000000007E-2</v>
      </c>
      <c r="I522" s="18">
        <f t="shared" ref="I522:I526" si="171">G522*(1+H522)</f>
        <v>800.2958000000001</v>
      </c>
      <c r="J522" s="194">
        <v>65</v>
      </c>
      <c r="K522" s="194">
        <v>20</v>
      </c>
      <c r="L522" s="219">
        <f>J522*I522</f>
        <v>52019.227000000006</v>
      </c>
      <c r="M522" s="219">
        <f>K522*I522</f>
        <v>16005.916000000001</v>
      </c>
      <c r="N522" s="20">
        <f t="shared" ref="N522:N523" si="172">L522+M522</f>
        <v>68025.143000000011</v>
      </c>
      <c r="O522" s="216"/>
    </row>
    <row r="523" spans="1:18" x14ac:dyDescent="0.15">
      <c r="A523" s="35">
        <f>IF(G523&lt;&gt;"",1+MAX($A$6:A522),"")</f>
        <v>372</v>
      </c>
      <c r="B523" s="104" t="s">
        <v>440</v>
      </c>
      <c r="C523" s="15"/>
      <c r="D523" s="57"/>
      <c r="E523" s="167" t="s">
        <v>71</v>
      </c>
      <c r="F523" s="126" t="s">
        <v>91</v>
      </c>
      <c r="G523" s="126">
        <v>489.59</v>
      </c>
      <c r="H523" s="8">
        <v>7.0000000000000007E-2</v>
      </c>
      <c r="I523" s="18">
        <f t="shared" si="171"/>
        <v>523.86130000000003</v>
      </c>
      <c r="J523" s="194">
        <v>15</v>
      </c>
      <c r="K523" s="194">
        <v>8</v>
      </c>
      <c r="L523" s="219">
        <f>J523*I523</f>
        <v>7857.9195</v>
      </c>
      <c r="M523" s="219">
        <f>K523*I523</f>
        <v>4190.8904000000002</v>
      </c>
      <c r="N523" s="20">
        <f t="shared" si="172"/>
        <v>12048.8099</v>
      </c>
      <c r="O523" s="216"/>
    </row>
    <row r="524" spans="1:18" ht="15.75" thickBot="1" x14ac:dyDescent="0.25">
      <c r="A524" s="35" t="str">
        <f>IF(G524&lt;&gt;"",1+MAX($A$6:A523),"")</f>
        <v/>
      </c>
      <c r="B524" s="104"/>
      <c r="C524" s="15"/>
      <c r="D524" s="14"/>
      <c r="E524" s="128"/>
      <c r="F524" s="129"/>
      <c r="G524" s="129"/>
      <c r="H524" s="8"/>
      <c r="I524" s="18"/>
      <c r="J524" s="219"/>
      <c r="K524" s="219"/>
      <c r="L524" s="219"/>
      <c r="M524" s="219"/>
      <c r="N524" s="20"/>
      <c r="O524" s="216"/>
    </row>
    <row r="525" spans="1:18" ht="15.75" thickBot="1" x14ac:dyDescent="0.2">
      <c r="A525" s="35" t="str">
        <f>IF(G525&lt;&gt;"",1+MAX($A$6:A524),"")</f>
        <v/>
      </c>
      <c r="B525" s="104"/>
      <c r="C525" s="42"/>
      <c r="D525" s="43"/>
      <c r="E525" s="240" t="s">
        <v>72</v>
      </c>
      <c r="F525" s="241"/>
      <c r="G525" s="242"/>
      <c r="H525" s="44"/>
      <c r="I525" s="45"/>
      <c r="J525" s="214"/>
      <c r="K525" s="214"/>
      <c r="L525" s="214"/>
      <c r="M525" s="214"/>
      <c r="N525" s="215"/>
      <c r="O525" s="216"/>
    </row>
    <row r="526" spans="1:18" x14ac:dyDescent="0.15">
      <c r="A526" s="35">
        <f>IF(G526&lt;&gt;"",1+MAX($A$6:A525),"")</f>
        <v>373</v>
      </c>
      <c r="B526" s="104" t="s">
        <v>440</v>
      </c>
      <c r="C526" s="136"/>
      <c r="D526" s="59"/>
      <c r="E526" s="167" t="s">
        <v>309</v>
      </c>
      <c r="F526" s="126" t="s">
        <v>91</v>
      </c>
      <c r="G526" s="126">
        <v>46.71</v>
      </c>
      <c r="H526" s="8">
        <v>7.0000000000000007E-2</v>
      </c>
      <c r="I526" s="18">
        <f t="shared" si="171"/>
        <v>49.979700000000001</v>
      </c>
      <c r="J526" s="194">
        <v>25</v>
      </c>
      <c r="K526" s="194">
        <v>12</v>
      </c>
      <c r="L526" s="219">
        <f>J526*I526</f>
        <v>1249.4925000000001</v>
      </c>
      <c r="M526" s="219">
        <f>K526*I526</f>
        <v>599.75639999999999</v>
      </c>
      <c r="N526" s="20">
        <f t="shared" ref="N526" si="173">L526+M526</f>
        <v>1849.2489</v>
      </c>
      <c r="O526" s="216"/>
    </row>
    <row r="527" spans="1:18" x14ac:dyDescent="0.15">
      <c r="A527" s="35">
        <f>IF(G527&lt;&gt;"",1+MAX($A$6:A526),"")</f>
        <v>374</v>
      </c>
      <c r="B527" s="104" t="s">
        <v>440</v>
      </c>
      <c r="C527" s="136"/>
      <c r="D527" s="60"/>
      <c r="E527" s="167" t="s">
        <v>310</v>
      </c>
      <c r="F527" s="126" t="s">
        <v>31</v>
      </c>
      <c r="G527" s="126">
        <v>47</v>
      </c>
      <c r="H527" s="8">
        <v>7.0000000000000007E-2</v>
      </c>
      <c r="I527" s="18">
        <f t="shared" ref="I527" si="174">G527*(1+H527)</f>
        <v>50.290000000000006</v>
      </c>
      <c r="J527" s="194">
        <v>120</v>
      </c>
      <c r="K527" s="194">
        <v>30</v>
      </c>
      <c r="L527" s="219">
        <f>J527*I527</f>
        <v>6034.8000000000011</v>
      </c>
      <c r="M527" s="219">
        <f>K527*I527</f>
        <v>1508.7000000000003</v>
      </c>
      <c r="N527" s="20">
        <f>L527+M527</f>
        <v>7543.5000000000018</v>
      </c>
      <c r="O527" s="216"/>
    </row>
    <row r="528" spans="1:18" x14ac:dyDescent="0.15">
      <c r="A528" s="35">
        <f>IF(G528&lt;&gt;"",1+MAX($A$6:A527),"")</f>
        <v>375</v>
      </c>
      <c r="B528" s="104" t="s">
        <v>440</v>
      </c>
      <c r="C528" s="136"/>
      <c r="D528" s="60"/>
      <c r="E528" s="167" t="s">
        <v>73</v>
      </c>
      <c r="F528" s="126" t="s">
        <v>31</v>
      </c>
      <c r="G528" s="126">
        <v>30</v>
      </c>
      <c r="H528" s="8">
        <v>7.0000000000000007E-2</v>
      </c>
      <c r="I528" s="18">
        <f t="shared" ref="I528:I529" si="175">G528*(1+H528)</f>
        <v>32.1</v>
      </c>
      <c r="J528" s="194">
        <v>120</v>
      </c>
      <c r="K528" s="194">
        <v>30</v>
      </c>
      <c r="L528" s="219">
        <f>J528*I528</f>
        <v>3852</v>
      </c>
      <c r="M528" s="219">
        <f>K528*I528</f>
        <v>963</v>
      </c>
      <c r="N528" s="20">
        <f>L528+M528</f>
        <v>4815</v>
      </c>
      <c r="O528" s="216"/>
    </row>
    <row r="529" spans="1:16" x14ac:dyDescent="0.15">
      <c r="A529" s="35">
        <f>IF(G529&lt;&gt;"",1+MAX($A$6:A528),"")</f>
        <v>376</v>
      </c>
      <c r="B529" s="104" t="s">
        <v>440</v>
      </c>
      <c r="C529" s="168"/>
      <c r="D529" s="60"/>
      <c r="E529" s="167" t="s">
        <v>74</v>
      </c>
      <c r="F529" s="126" t="s">
        <v>31</v>
      </c>
      <c r="G529" s="126">
        <v>30</v>
      </c>
      <c r="H529" s="8">
        <v>7.0000000000000007E-2</v>
      </c>
      <c r="I529" s="18">
        <f t="shared" si="175"/>
        <v>32.1</v>
      </c>
      <c r="J529" s="194">
        <v>120</v>
      </c>
      <c r="K529" s="194">
        <v>30</v>
      </c>
      <c r="L529" s="219">
        <f>J529*I529</f>
        <v>3852</v>
      </c>
      <c r="M529" s="219">
        <f>K529*I529</f>
        <v>963</v>
      </c>
      <c r="N529" s="20">
        <f>L529+M529</f>
        <v>4815</v>
      </c>
      <c r="O529" s="216"/>
    </row>
    <row r="530" spans="1:16" ht="15.75" thickBot="1" x14ac:dyDescent="0.2">
      <c r="A530" s="35" t="str">
        <f>IF(G530&lt;&gt;"",1+MAX($A$6:A529),"")</f>
        <v/>
      </c>
      <c r="B530" s="104"/>
      <c r="C530" s="15"/>
      <c r="D530" s="61"/>
      <c r="E530" s="58"/>
      <c r="F530" s="99"/>
      <c r="G530" s="13"/>
      <c r="H530" s="8"/>
      <c r="I530" s="18"/>
      <c r="J530" s="220"/>
      <c r="K530" s="220"/>
      <c r="L530" s="220"/>
      <c r="M530" s="220"/>
      <c r="N530" s="20"/>
      <c r="O530" s="216"/>
    </row>
    <row r="531" spans="1:16" ht="15.75" thickBot="1" x14ac:dyDescent="0.2">
      <c r="A531" s="35" t="str">
        <f>IF(G531&lt;&gt;"",1+MAX($A$6:A530),"")</f>
        <v/>
      </c>
      <c r="B531" s="106"/>
      <c r="C531" s="14"/>
      <c r="D531" s="62"/>
      <c r="E531" s="63" t="s">
        <v>38</v>
      </c>
      <c r="F531" s="99"/>
      <c r="G531" s="56"/>
      <c r="H531" s="64"/>
      <c r="I531" s="18"/>
      <c r="J531" s="224"/>
      <c r="K531" s="224"/>
      <c r="L531" s="224"/>
      <c r="M531" s="224"/>
      <c r="N531" s="65"/>
      <c r="O531" s="66">
        <f>SUM(N522:N529)</f>
        <v>99096.70180000001</v>
      </c>
      <c r="P531" s="67"/>
    </row>
    <row r="532" spans="1:16" ht="15.75" thickBot="1" x14ac:dyDescent="0.2">
      <c r="A532" s="35" t="str">
        <f>IF(G532&lt;&gt;"",1+MAX($A$6:A531),"")</f>
        <v/>
      </c>
      <c r="B532" s="104"/>
      <c r="C532" s="15"/>
      <c r="D532" s="61"/>
      <c r="E532" s="47"/>
      <c r="F532" s="99"/>
      <c r="G532" s="13"/>
      <c r="H532" s="8"/>
      <c r="I532" s="18"/>
      <c r="J532" s="220"/>
      <c r="K532" s="220"/>
      <c r="L532" s="220"/>
      <c r="M532" s="220"/>
      <c r="N532" s="20"/>
      <c r="O532" s="216"/>
    </row>
    <row r="533" spans="1:16" s="41" customFormat="1" ht="15.75" thickBot="1" x14ac:dyDescent="0.2">
      <c r="A533" s="35" t="str">
        <f>IF(G533&lt;&gt;"",1+MAX($A$6:A532),"")</f>
        <v/>
      </c>
      <c r="B533" s="112"/>
      <c r="C533" s="36"/>
      <c r="D533" s="37" t="s">
        <v>314</v>
      </c>
      <c r="E533" s="38" t="s">
        <v>315</v>
      </c>
      <c r="F533" s="40"/>
      <c r="G533" s="39"/>
      <c r="H533" s="40"/>
      <c r="I533" s="40"/>
      <c r="J533" s="225"/>
      <c r="K533" s="225"/>
      <c r="L533" s="225"/>
      <c r="M533" s="225"/>
      <c r="N533" s="226"/>
      <c r="O533" s="213"/>
      <c r="P533" s="125"/>
    </row>
    <row r="534" spans="1:16" ht="15.75" thickBot="1" x14ac:dyDescent="0.2">
      <c r="A534" s="35" t="str">
        <f>IF(G534&lt;&gt;"",1+MAX($A$6:A533),"")</f>
        <v/>
      </c>
      <c r="B534" s="104"/>
      <c r="C534" s="42"/>
      <c r="D534" s="43"/>
      <c r="E534" s="240" t="s">
        <v>316</v>
      </c>
      <c r="F534" s="241"/>
      <c r="G534" s="242"/>
      <c r="H534" s="44"/>
      <c r="I534" s="45"/>
      <c r="J534" s="214"/>
      <c r="K534" s="214"/>
      <c r="L534" s="214"/>
      <c r="M534" s="214"/>
      <c r="N534" s="215"/>
      <c r="O534" s="216"/>
    </row>
    <row r="535" spans="1:16" x14ac:dyDescent="0.15">
      <c r="A535" s="35">
        <f>IF(G535&lt;&gt;"",1+MAX($A$6:A534),"")</f>
        <v>377</v>
      </c>
      <c r="B535" s="104" t="s">
        <v>440</v>
      </c>
      <c r="C535" s="15"/>
      <c r="D535" s="57"/>
      <c r="E535" s="167" t="s">
        <v>317</v>
      </c>
      <c r="F535" s="126" t="s">
        <v>31</v>
      </c>
      <c r="G535" s="126">
        <v>24</v>
      </c>
      <c r="H535" s="8">
        <v>7.0000000000000007E-2</v>
      </c>
      <c r="I535" s="18">
        <f t="shared" ref="I535:I536" si="176">G535*(1+H535)</f>
        <v>25.68</v>
      </c>
      <c r="J535" s="194">
        <v>1900</v>
      </c>
      <c r="K535" s="194">
        <v>100</v>
      </c>
      <c r="L535" s="219">
        <f>J535*I535</f>
        <v>48792</v>
      </c>
      <c r="M535" s="219">
        <f>K535*I535</f>
        <v>2568</v>
      </c>
      <c r="N535" s="20">
        <f t="shared" ref="N535:N536" si="177">L535+M535</f>
        <v>51360</v>
      </c>
      <c r="O535" s="216"/>
    </row>
    <row r="536" spans="1:16" x14ac:dyDescent="0.15">
      <c r="A536" s="35">
        <f>IF(G536&lt;&gt;"",1+MAX($A$6:A535),"")</f>
        <v>378</v>
      </c>
      <c r="B536" s="104" t="s">
        <v>440</v>
      </c>
      <c r="C536" s="15"/>
      <c r="D536" s="57"/>
      <c r="E536" s="167" t="s">
        <v>318</v>
      </c>
      <c r="F536" s="126" t="s">
        <v>31</v>
      </c>
      <c r="G536" s="126">
        <v>24</v>
      </c>
      <c r="H536" s="8">
        <v>7.0000000000000007E-2</v>
      </c>
      <c r="I536" s="18">
        <f t="shared" si="176"/>
        <v>25.68</v>
      </c>
      <c r="J536" s="194">
        <v>2900</v>
      </c>
      <c r="K536" s="194">
        <v>100</v>
      </c>
      <c r="L536" s="219">
        <f>J536*I536</f>
        <v>74472</v>
      </c>
      <c r="M536" s="219">
        <f>K536*I536</f>
        <v>2568</v>
      </c>
      <c r="N536" s="20">
        <f t="shared" si="177"/>
        <v>77040</v>
      </c>
      <c r="O536" s="216"/>
    </row>
    <row r="537" spans="1:16" x14ac:dyDescent="0.15">
      <c r="A537" s="35">
        <f>IF(G537&lt;&gt;"",1+MAX($A$6:A536),"")</f>
        <v>379</v>
      </c>
      <c r="B537" s="104" t="s">
        <v>440</v>
      </c>
      <c r="C537" s="168"/>
      <c r="D537" s="59"/>
      <c r="E537" s="167" t="s">
        <v>319</v>
      </c>
      <c r="F537" s="126" t="s">
        <v>31</v>
      </c>
      <c r="G537" s="126">
        <v>1</v>
      </c>
      <c r="H537" s="8">
        <v>7.0000000000000007E-2</v>
      </c>
      <c r="I537" s="18">
        <f t="shared" ref="I537:I538" si="178">G537*(1+H537)</f>
        <v>1.07</v>
      </c>
      <c r="J537" s="194">
        <v>1200</v>
      </c>
      <c r="K537" s="194">
        <v>100</v>
      </c>
      <c r="L537" s="219">
        <f>J537*I537</f>
        <v>1284</v>
      </c>
      <c r="M537" s="219">
        <f>K537*I537</f>
        <v>107</v>
      </c>
      <c r="N537" s="20">
        <f t="shared" ref="N537" si="179">L537+M537</f>
        <v>1391</v>
      </c>
      <c r="O537" s="216"/>
    </row>
    <row r="538" spans="1:16" x14ac:dyDescent="0.15">
      <c r="A538" s="35">
        <f>IF(G538&lt;&gt;"",1+MAX($A$6:A537),"")</f>
        <v>380</v>
      </c>
      <c r="B538" s="104" t="s">
        <v>440</v>
      </c>
      <c r="C538" s="168"/>
      <c r="D538" s="60"/>
      <c r="E538" s="167" t="s">
        <v>320</v>
      </c>
      <c r="F538" s="126" t="s">
        <v>31</v>
      </c>
      <c r="G538" s="126">
        <v>1</v>
      </c>
      <c r="H538" s="8">
        <v>7.0000000000000007E-2</v>
      </c>
      <c r="I538" s="18">
        <f t="shared" si="178"/>
        <v>1.07</v>
      </c>
      <c r="J538" s="194">
        <v>1200</v>
      </c>
      <c r="K538" s="194">
        <v>100</v>
      </c>
      <c r="L538" s="219">
        <f>J538*I538</f>
        <v>1284</v>
      </c>
      <c r="M538" s="219">
        <f>K538*I538</f>
        <v>107</v>
      </c>
      <c r="N538" s="20">
        <f>L538+M538</f>
        <v>1391</v>
      </c>
      <c r="O538" s="216"/>
    </row>
    <row r="539" spans="1:16" ht="15.75" thickBot="1" x14ac:dyDescent="0.2">
      <c r="A539" s="35" t="str">
        <f>IF(G539&lt;&gt;"",1+MAX($A$6:A538),"")</f>
        <v/>
      </c>
      <c r="B539" s="104"/>
      <c r="C539" s="15"/>
      <c r="D539" s="61"/>
      <c r="E539" s="58"/>
      <c r="F539" s="99"/>
      <c r="G539" s="13"/>
      <c r="H539" s="8"/>
      <c r="I539" s="18"/>
      <c r="J539" s="220"/>
      <c r="K539" s="220"/>
      <c r="L539" s="220"/>
      <c r="M539" s="220"/>
      <c r="N539" s="20"/>
      <c r="O539" s="216"/>
    </row>
    <row r="540" spans="1:16" ht="15.75" thickBot="1" x14ac:dyDescent="0.2">
      <c r="A540" s="35" t="str">
        <f>IF(G540&lt;&gt;"",1+MAX($A$6:A539),"")</f>
        <v/>
      </c>
      <c r="B540" s="106"/>
      <c r="C540" s="14"/>
      <c r="D540" s="62"/>
      <c r="E540" s="63" t="s">
        <v>38</v>
      </c>
      <c r="F540" s="99"/>
      <c r="G540" s="56"/>
      <c r="H540" s="64"/>
      <c r="I540" s="18"/>
      <c r="J540" s="224"/>
      <c r="K540" s="224"/>
      <c r="L540" s="224"/>
      <c r="M540" s="224"/>
      <c r="N540" s="65"/>
      <c r="O540" s="66">
        <f>SUM(N535:N538)</f>
        <v>131182</v>
      </c>
      <c r="P540" s="67"/>
    </row>
    <row r="541" spans="1:16" ht="15.75" thickBot="1" x14ac:dyDescent="0.2">
      <c r="A541" s="35" t="str">
        <f>IF(G541&lt;&gt;"",1+MAX($A$6:A540),"")</f>
        <v/>
      </c>
      <c r="B541" s="104"/>
      <c r="C541" s="15"/>
      <c r="D541" s="61"/>
      <c r="E541" s="47"/>
      <c r="F541" s="99"/>
      <c r="G541" s="13"/>
      <c r="H541" s="8"/>
      <c r="I541" s="18"/>
      <c r="J541" s="220"/>
      <c r="K541" s="220"/>
      <c r="L541" s="220"/>
      <c r="M541" s="220"/>
      <c r="N541" s="20"/>
      <c r="O541" s="216"/>
    </row>
    <row r="542" spans="1:16" s="41" customFormat="1" ht="15.75" thickBot="1" x14ac:dyDescent="0.2">
      <c r="A542" s="35" t="str">
        <f>IF(G542&lt;&gt;"",1+MAX($A$6:A541),"")</f>
        <v/>
      </c>
      <c r="B542" s="112"/>
      <c r="C542" s="36"/>
      <c r="D542" s="37" t="s">
        <v>94</v>
      </c>
      <c r="E542" s="38" t="s">
        <v>95</v>
      </c>
      <c r="F542" s="40"/>
      <c r="G542" s="39"/>
      <c r="H542" s="40"/>
      <c r="I542" s="40"/>
      <c r="J542" s="225"/>
      <c r="K542" s="225"/>
      <c r="L542" s="225"/>
      <c r="M542" s="225"/>
      <c r="N542" s="226"/>
      <c r="O542" s="213"/>
      <c r="P542" s="125"/>
    </row>
    <row r="543" spans="1:16" ht="15.75" thickBot="1" x14ac:dyDescent="0.2">
      <c r="A543" s="35" t="str">
        <f>IF(G543&lt;&gt;"",1+MAX($A$6:A542),"")</f>
        <v/>
      </c>
      <c r="B543" s="104"/>
      <c r="C543" s="42"/>
      <c r="D543" s="43"/>
      <c r="E543" s="240" t="s">
        <v>96</v>
      </c>
      <c r="F543" s="241"/>
      <c r="G543" s="242"/>
      <c r="H543" s="44"/>
      <c r="I543" s="45"/>
      <c r="J543" s="214"/>
      <c r="K543" s="214"/>
      <c r="L543" s="214"/>
      <c r="M543" s="214"/>
      <c r="N543" s="215"/>
      <c r="O543" s="216"/>
    </row>
    <row r="544" spans="1:16" x14ac:dyDescent="0.15">
      <c r="A544" s="35">
        <f>IF(G544&lt;&gt;"",1+MAX($A$6:A543),"")</f>
        <v>381</v>
      </c>
      <c r="B544" s="104" t="s">
        <v>440</v>
      </c>
      <c r="C544" s="15"/>
      <c r="D544" s="57"/>
      <c r="E544" s="183" t="s">
        <v>93</v>
      </c>
      <c r="F544" s="173" t="s">
        <v>31</v>
      </c>
      <c r="G544" s="179">
        <v>1</v>
      </c>
      <c r="H544" s="8">
        <v>7.0000000000000007E-2</v>
      </c>
      <c r="I544" s="18">
        <f t="shared" ref="I544" si="180">G544*(1+H544)</f>
        <v>1.07</v>
      </c>
      <c r="J544" s="194">
        <v>120000</v>
      </c>
      <c r="K544" s="194">
        <v>35000</v>
      </c>
      <c r="L544" s="219">
        <f>J544*I544</f>
        <v>128400.00000000001</v>
      </c>
      <c r="M544" s="219">
        <f>K544*I544</f>
        <v>37450</v>
      </c>
      <c r="N544" s="20">
        <f t="shared" ref="N544" si="181">L544+M544</f>
        <v>165850</v>
      </c>
      <c r="O544" s="216"/>
    </row>
    <row r="545" spans="1:16" ht="15.75" thickBot="1" x14ac:dyDescent="0.2">
      <c r="A545" s="35" t="str">
        <f>IF(G545&lt;&gt;"",1+MAX($A$6:A544),"")</f>
        <v/>
      </c>
      <c r="B545" s="104"/>
      <c r="C545" s="15"/>
      <c r="D545" s="61"/>
      <c r="E545" s="58"/>
      <c r="F545" s="99"/>
      <c r="G545" s="13"/>
      <c r="H545" s="8"/>
      <c r="I545" s="18"/>
      <c r="J545" s="220"/>
      <c r="K545" s="220"/>
      <c r="L545" s="220"/>
      <c r="M545" s="220"/>
      <c r="N545" s="20"/>
      <c r="O545" s="216"/>
    </row>
    <row r="546" spans="1:16" ht="15.75" thickBot="1" x14ac:dyDescent="0.2">
      <c r="A546" s="35" t="str">
        <f>IF(G546&lt;&gt;"",1+MAX($A$6:A545),"")</f>
        <v/>
      </c>
      <c r="B546" s="106"/>
      <c r="C546" s="14"/>
      <c r="D546" s="62"/>
      <c r="E546" s="63" t="s">
        <v>38</v>
      </c>
      <c r="F546" s="99"/>
      <c r="G546" s="56"/>
      <c r="H546" s="64"/>
      <c r="I546" s="18"/>
      <c r="J546" s="224"/>
      <c r="K546" s="224"/>
      <c r="L546" s="224"/>
      <c r="M546" s="224"/>
      <c r="N546" s="65"/>
      <c r="O546" s="66">
        <f>SUM(N544:N544)</f>
        <v>165850</v>
      </c>
      <c r="P546" s="67"/>
    </row>
    <row r="547" spans="1:16" ht="15.75" thickBot="1" x14ac:dyDescent="0.2">
      <c r="A547" s="35" t="str">
        <f>IF(G547&lt;&gt;"",1+MAX($A$6:A546),"")</f>
        <v/>
      </c>
      <c r="B547" s="104"/>
      <c r="C547" s="15"/>
      <c r="D547" s="61"/>
      <c r="E547" s="47"/>
      <c r="F547" s="99"/>
      <c r="G547" s="13"/>
      <c r="H547" s="8"/>
      <c r="I547" s="18"/>
      <c r="J547" s="220"/>
      <c r="K547" s="220"/>
      <c r="L547" s="220"/>
      <c r="M547" s="220"/>
      <c r="N547" s="20"/>
      <c r="O547" s="216"/>
    </row>
    <row r="548" spans="1:16" s="41" customFormat="1" ht="15.75" thickBot="1" x14ac:dyDescent="0.2">
      <c r="A548" s="35" t="str">
        <f>IF(G548&lt;&gt;"",1+MAX($A$6:A547),"")</f>
        <v/>
      </c>
      <c r="B548" s="112"/>
      <c r="C548" s="36"/>
      <c r="D548" s="37" t="s">
        <v>75</v>
      </c>
      <c r="E548" s="38" t="s">
        <v>76</v>
      </c>
      <c r="F548" s="40"/>
      <c r="G548" s="39"/>
      <c r="H548" s="40"/>
      <c r="I548" s="40"/>
      <c r="J548" s="225"/>
      <c r="K548" s="225"/>
      <c r="L548" s="225"/>
      <c r="M548" s="225"/>
      <c r="N548" s="226"/>
      <c r="O548" s="213"/>
      <c r="P548" s="125"/>
    </row>
    <row r="549" spans="1:16" ht="15.75" thickBot="1" x14ac:dyDescent="0.2">
      <c r="A549" s="35" t="str">
        <f>IF(G549&lt;&gt;"",1+MAX($A$6:A548),"")</f>
        <v/>
      </c>
      <c r="B549" s="104"/>
      <c r="C549" s="42"/>
      <c r="D549" s="43"/>
      <c r="E549" s="240" t="s">
        <v>77</v>
      </c>
      <c r="F549" s="241"/>
      <c r="G549" s="242"/>
      <c r="H549" s="44"/>
      <c r="I549" s="45"/>
      <c r="J549" s="214"/>
      <c r="K549" s="214"/>
      <c r="L549" s="214"/>
      <c r="M549" s="214"/>
      <c r="N549" s="215"/>
      <c r="O549" s="216"/>
    </row>
    <row r="550" spans="1:16" x14ac:dyDescent="0.15">
      <c r="A550" s="35">
        <f>IF(G550&lt;&gt;"",1+MAX($A$6:A549),"")</f>
        <v>382</v>
      </c>
      <c r="B550" s="104" t="s">
        <v>440</v>
      </c>
      <c r="C550" s="15"/>
      <c r="D550" s="57"/>
      <c r="E550" s="167" t="s">
        <v>79</v>
      </c>
      <c r="F550" s="126" t="s">
        <v>31</v>
      </c>
      <c r="G550" s="126">
        <v>36</v>
      </c>
      <c r="H550" s="8">
        <v>7.0000000000000007E-2</v>
      </c>
      <c r="I550" s="18">
        <f t="shared" ref="I550:I556" si="182">G550*(1+H550)</f>
        <v>38.520000000000003</v>
      </c>
      <c r="J550" s="194">
        <v>850</v>
      </c>
      <c r="K550" s="194">
        <v>150</v>
      </c>
      <c r="L550" s="219">
        <f t="shared" ref="L550:L556" si="183">J550*I550</f>
        <v>32742.000000000004</v>
      </c>
      <c r="M550" s="219">
        <f t="shared" ref="M550:M556" si="184">K550*I550</f>
        <v>5778.0000000000009</v>
      </c>
      <c r="N550" s="20">
        <f t="shared" ref="N550:N552" si="185">L550+M550</f>
        <v>38520.000000000007</v>
      </c>
      <c r="O550" s="216"/>
    </row>
    <row r="551" spans="1:16" x14ac:dyDescent="0.15">
      <c r="A551" s="35">
        <f>IF(G551&lt;&gt;"",1+MAX($A$6:A550),"")</f>
        <v>383</v>
      </c>
      <c r="B551" s="104" t="s">
        <v>440</v>
      </c>
      <c r="C551" s="15"/>
      <c r="D551" s="57"/>
      <c r="E551" s="167" t="s">
        <v>78</v>
      </c>
      <c r="F551" s="126" t="s">
        <v>31</v>
      </c>
      <c r="G551" s="126">
        <v>33</v>
      </c>
      <c r="H551" s="8">
        <v>7.0000000000000007E-2</v>
      </c>
      <c r="I551" s="18">
        <f t="shared" si="182"/>
        <v>35.31</v>
      </c>
      <c r="J551" s="194">
        <v>950</v>
      </c>
      <c r="K551" s="194">
        <v>150</v>
      </c>
      <c r="L551" s="219">
        <f t="shared" si="183"/>
        <v>33544.5</v>
      </c>
      <c r="M551" s="219">
        <f t="shared" si="184"/>
        <v>5296.5</v>
      </c>
      <c r="N551" s="20">
        <f t="shared" si="185"/>
        <v>38841</v>
      </c>
      <c r="O551" s="216"/>
    </row>
    <row r="552" spans="1:16" x14ac:dyDescent="0.15">
      <c r="A552" s="35">
        <f>IF(G552&lt;&gt;"",1+MAX($A$6:A551),"")</f>
        <v>384</v>
      </c>
      <c r="B552" s="104" t="s">
        <v>440</v>
      </c>
      <c r="C552" s="15"/>
      <c r="D552" s="14"/>
      <c r="E552" s="167" t="s">
        <v>311</v>
      </c>
      <c r="F552" s="126" t="s">
        <v>31</v>
      </c>
      <c r="G552" s="126">
        <v>2</v>
      </c>
      <c r="H552" s="8">
        <v>7.0000000000000007E-2</v>
      </c>
      <c r="I552" s="18">
        <f t="shared" si="182"/>
        <v>2.14</v>
      </c>
      <c r="J552" s="194">
        <v>800</v>
      </c>
      <c r="K552" s="194">
        <v>150</v>
      </c>
      <c r="L552" s="219">
        <f t="shared" si="183"/>
        <v>1712</v>
      </c>
      <c r="M552" s="219">
        <f t="shared" si="184"/>
        <v>321</v>
      </c>
      <c r="N552" s="20">
        <f t="shared" si="185"/>
        <v>2033</v>
      </c>
      <c r="O552" s="216"/>
    </row>
    <row r="553" spans="1:16" x14ac:dyDescent="0.15">
      <c r="A553" s="35">
        <f>IF(G553&lt;&gt;"",1+MAX($A$6:A552),"")</f>
        <v>385</v>
      </c>
      <c r="B553" s="104" t="s">
        <v>440</v>
      </c>
      <c r="C553" s="15"/>
      <c r="D553" s="57"/>
      <c r="E553" s="167" t="s">
        <v>312</v>
      </c>
      <c r="F553" s="126" t="s">
        <v>31</v>
      </c>
      <c r="G553" s="126">
        <v>23</v>
      </c>
      <c r="H553" s="8">
        <v>7.0000000000000007E-2</v>
      </c>
      <c r="I553" s="18">
        <f t="shared" ref="I553:I554" si="186">G553*(1+H553)</f>
        <v>24.610000000000003</v>
      </c>
      <c r="J553" s="194">
        <v>700</v>
      </c>
      <c r="K553" s="194">
        <v>150</v>
      </c>
      <c r="L553" s="219">
        <f t="shared" si="183"/>
        <v>17227.000000000004</v>
      </c>
      <c r="M553" s="219">
        <f t="shared" si="184"/>
        <v>3691.5000000000005</v>
      </c>
      <c r="N553" s="20">
        <f t="shared" ref="N553:N554" si="187">L553+M553</f>
        <v>20918.500000000004</v>
      </c>
      <c r="O553" s="216"/>
    </row>
    <row r="554" spans="1:16" x14ac:dyDescent="0.15">
      <c r="A554" s="35">
        <f>IF(G554&lt;&gt;"",1+MAX($A$6:A553),"")</f>
        <v>386</v>
      </c>
      <c r="B554" s="104" t="s">
        <v>440</v>
      </c>
      <c r="C554" s="15"/>
      <c r="D554" s="14"/>
      <c r="E554" s="167" t="s">
        <v>313</v>
      </c>
      <c r="F554" s="126" t="s">
        <v>31</v>
      </c>
      <c r="G554" s="126">
        <v>15</v>
      </c>
      <c r="H554" s="8">
        <v>7.0000000000000007E-2</v>
      </c>
      <c r="I554" s="18">
        <f t="shared" si="186"/>
        <v>16.05</v>
      </c>
      <c r="J554" s="194">
        <v>1350</v>
      </c>
      <c r="K554" s="194">
        <v>250</v>
      </c>
      <c r="L554" s="219">
        <f t="shared" si="183"/>
        <v>21667.5</v>
      </c>
      <c r="M554" s="219">
        <f t="shared" si="184"/>
        <v>4012.5</v>
      </c>
      <c r="N554" s="20">
        <f t="shared" si="187"/>
        <v>25680</v>
      </c>
      <c r="O554" s="216"/>
    </row>
    <row r="555" spans="1:16" x14ac:dyDescent="0.15">
      <c r="A555" s="35">
        <f>IF(G555&lt;&gt;"",1+MAX($A$6:A554),"")</f>
        <v>387</v>
      </c>
      <c r="B555" s="104" t="s">
        <v>440</v>
      </c>
      <c r="C555" s="15"/>
      <c r="D555" s="57"/>
      <c r="E555" s="167" t="s">
        <v>97</v>
      </c>
      <c r="F555" s="126" t="s">
        <v>31</v>
      </c>
      <c r="G555" s="126">
        <v>2</v>
      </c>
      <c r="H555" s="8">
        <v>7.0000000000000007E-2</v>
      </c>
      <c r="I555" s="18">
        <f t="shared" ref="I555" si="188">G555*(1+H555)</f>
        <v>2.14</v>
      </c>
      <c r="J555" s="194">
        <v>800</v>
      </c>
      <c r="K555" s="194">
        <v>150</v>
      </c>
      <c r="L555" s="219">
        <f t="shared" si="183"/>
        <v>1712</v>
      </c>
      <c r="M555" s="219">
        <f t="shared" si="184"/>
        <v>321</v>
      </c>
      <c r="N555" s="20">
        <f t="shared" ref="N555" si="189">L555+M555</f>
        <v>2033</v>
      </c>
      <c r="O555" s="216"/>
    </row>
    <row r="556" spans="1:16" x14ac:dyDescent="0.15">
      <c r="A556" s="35">
        <f>IF(G556&lt;&gt;"",1+MAX($A$6:A555),"")</f>
        <v>388</v>
      </c>
      <c r="B556" s="104" t="s">
        <v>440</v>
      </c>
      <c r="C556" s="105"/>
      <c r="D556" s="59"/>
      <c r="E556" s="58" t="s">
        <v>80</v>
      </c>
      <c r="F556" s="99" t="s">
        <v>81</v>
      </c>
      <c r="G556" s="124">
        <v>1</v>
      </c>
      <c r="H556" s="8">
        <v>7.0000000000000007E-2</v>
      </c>
      <c r="I556" s="18">
        <f t="shared" si="182"/>
        <v>1.07</v>
      </c>
      <c r="J556" s="194">
        <v>5000</v>
      </c>
      <c r="K556" s="194">
        <v>3000</v>
      </c>
      <c r="L556" s="219">
        <f t="shared" si="183"/>
        <v>5350</v>
      </c>
      <c r="M556" s="219">
        <f t="shared" si="184"/>
        <v>3210</v>
      </c>
      <c r="N556" s="20">
        <f t="shared" ref="N556" si="190">L556+M556</f>
        <v>8560</v>
      </c>
      <c r="O556" s="216"/>
    </row>
    <row r="557" spans="1:16" ht="15.75" thickBot="1" x14ac:dyDescent="0.2">
      <c r="A557" s="35" t="str">
        <f>IF(G557&lt;&gt;"",1+MAX($A$6:A556),"")</f>
        <v/>
      </c>
      <c r="B557" s="104"/>
      <c r="C557" s="15"/>
      <c r="D557" s="61"/>
      <c r="E557" s="58"/>
      <c r="F557" s="99"/>
      <c r="G557" s="13"/>
      <c r="H557" s="8"/>
      <c r="I557" s="18"/>
      <c r="J557" s="220"/>
      <c r="K557" s="220"/>
      <c r="L557" s="220"/>
      <c r="M557" s="220"/>
      <c r="N557" s="20"/>
      <c r="O557" s="216"/>
    </row>
    <row r="558" spans="1:16" ht="15.75" thickBot="1" x14ac:dyDescent="0.2">
      <c r="A558" s="35" t="str">
        <f>IF(G558&lt;&gt;"",1+MAX($A$6:A557),"")</f>
        <v/>
      </c>
      <c r="B558" s="106"/>
      <c r="C558" s="14"/>
      <c r="D558" s="62"/>
      <c r="E558" s="63" t="s">
        <v>38</v>
      </c>
      <c r="F558" s="99"/>
      <c r="G558" s="56"/>
      <c r="H558" s="64"/>
      <c r="I558" s="18"/>
      <c r="J558" s="224"/>
      <c r="K558" s="224"/>
      <c r="L558" s="224"/>
      <c r="M558" s="224"/>
      <c r="N558" s="65"/>
      <c r="O558" s="66">
        <f>SUM(N550:N556)</f>
        <v>136585.5</v>
      </c>
      <c r="P558" s="67"/>
    </row>
    <row r="559" spans="1:16" ht="15.75" thickBot="1" x14ac:dyDescent="0.2">
      <c r="A559" s="35" t="str">
        <f>IF(G559&lt;&gt;"",1+MAX($A$6:A558),"")</f>
        <v/>
      </c>
      <c r="B559" s="104"/>
      <c r="C559" s="15"/>
      <c r="D559" s="61"/>
      <c r="E559" s="47"/>
      <c r="F559" s="99"/>
      <c r="G559" s="13"/>
      <c r="H559" s="8"/>
      <c r="I559" s="18"/>
      <c r="J559" s="220"/>
      <c r="K559" s="220"/>
      <c r="L559" s="220"/>
      <c r="M559" s="220"/>
      <c r="N559" s="20"/>
      <c r="O559" s="216"/>
    </row>
    <row r="560" spans="1:16" s="41" customFormat="1" ht="15.75" thickBot="1" x14ac:dyDescent="0.2">
      <c r="A560" s="35" t="str">
        <f>IF(G560&lt;&gt;"",1+MAX($A$6:A559),"")</f>
        <v/>
      </c>
      <c r="B560" s="112"/>
      <c r="C560" s="36"/>
      <c r="D560" s="37" t="s">
        <v>82</v>
      </c>
      <c r="E560" s="38" t="s">
        <v>98</v>
      </c>
      <c r="F560" s="40"/>
      <c r="G560" s="39"/>
      <c r="H560" s="40"/>
      <c r="I560" s="40"/>
      <c r="J560" s="225"/>
      <c r="K560" s="225"/>
      <c r="L560" s="225"/>
      <c r="M560" s="225"/>
      <c r="N560" s="226"/>
      <c r="O560" s="213"/>
      <c r="P560" s="125"/>
    </row>
    <row r="561" spans="1:18" s="109" customFormat="1" x14ac:dyDescent="0.15">
      <c r="A561" s="35">
        <f>IF(G561&lt;&gt;"",1+MAX($A$6:A560),"")</f>
        <v>389</v>
      </c>
      <c r="B561" s="104" t="s">
        <v>440</v>
      </c>
      <c r="C561" s="105"/>
      <c r="D561" s="120"/>
      <c r="E561" s="123" t="s">
        <v>99</v>
      </c>
      <c r="F561" s="108" t="s">
        <v>81</v>
      </c>
      <c r="G561" s="124">
        <v>1</v>
      </c>
      <c r="H561" s="121">
        <v>7.0000000000000007E-2</v>
      </c>
      <c r="I561" s="107">
        <f t="shared" ref="I561" si="191">G561*(1+H561)</f>
        <v>1.07</v>
      </c>
      <c r="J561" s="194">
        <v>10000</v>
      </c>
      <c r="K561" s="194">
        <v>5000</v>
      </c>
      <c r="L561" s="219">
        <f>J561*I561</f>
        <v>10700</v>
      </c>
      <c r="M561" s="219">
        <f>K561*I561</f>
        <v>5350</v>
      </c>
      <c r="N561" s="20">
        <f>L561+M561</f>
        <v>16050</v>
      </c>
      <c r="O561" s="222"/>
      <c r="P561" s="122"/>
      <c r="Q561" s="122"/>
      <c r="R561" s="122"/>
    </row>
    <row r="562" spans="1:18" ht="15.75" thickBot="1" x14ac:dyDescent="0.2">
      <c r="A562" s="35" t="str">
        <f>IF(G562&lt;&gt;"",1+MAX($A$6:A561),"")</f>
        <v/>
      </c>
      <c r="B562" s="104"/>
      <c r="C562" s="15"/>
      <c r="D562" s="61"/>
      <c r="E562" s="58"/>
      <c r="F562" s="99"/>
      <c r="G562" s="13"/>
      <c r="H562" s="8"/>
      <c r="I562" s="18"/>
      <c r="J562" s="220"/>
      <c r="K562" s="220"/>
      <c r="L562" s="220"/>
      <c r="M562" s="220"/>
      <c r="N562" s="20"/>
      <c r="O562" s="216"/>
    </row>
    <row r="563" spans="1:18" ht="15.75" thickBot="1" x14ac:dyDescent="0.2">
      <c r="A563" s="35" t="str">
        <f>IF(G563&lt;&gt;"",1+MAX($A$6:A562),"")</f>
        <v/>
      </c>
      <c r="B563" s="106"/>
      <c r="C563" s="14"/>
      <c r="D563" s="62"/>
      <c r="E563" s="63" t="s">
        <v>38</v>
      </c>
      <c r="F563" s="99"/>
      <c r="G563" s="56"/>
      <c r="H563" s="64"/>
      <c r="I563" s="18"/>
      <c r="J563" s="224"/>
      <c r="K563" s="224"/>
      <c r="L563" s="224"/>
      <c r="M563" s="224"/>
      <c r="N563" s="65"/>
      <c r="O563" s="66">
        <f>SUM(N561:N561)</f>
        <v>16050</v>
      </c>
      <c r="P563" s="67"/>
    </row>
    <row r="564" spans="1:18" ht="15.75" thickBot="1" x14ac:dyDescent="0.2">
      <c r="A564" s="35" t="str">
        <f>IF(G564&lt;&gt;"",1+MAX($A$6:A563),"")</f>
        <v/>
      </c>
      <c r="B564" s="104"/>
      <c r="C564" s="15"/>
      <c r="D564" s="61"/>
      <c r="E564" s="47"/>
      <c r="F564" s="99"/>
      <c r="G564" s="13"/>
      <c r="H564" s="8"/>
      <c r="I564" s="18"/>
      <c r="J564" s="220"/>
      <c r="K564" s="220"/>
      <c r="L564" s="220"/>
      <c r="M564" s="220"/>
      <c r="N564" s="20"/>
      <c r="O564" s="216"/>
    </row>
    <row r="565" spans="1:18" s="41" customFormat="1" ht="15.75" thickBot="1" x14ac:dyDescent="0.2">
      <c r="A565" s="35" t="str">
        <f>IF(G565&lt;&gt;"",1+MAX($A$6:A564),"")</f>
        <v/>
      </c>
      <c r="B565" s="112"/>
      <c r="C565" s="36"/>
      <c r="D565" s="37" t="s">
        <v>83</v>
      </c>
      <c r="E565" s="38" t="s">
        <v>84</v>
      </c>
      <c r="F565" s="40"/>
      <c r="G565" s="39"/>
      <c r="H565" s="40"/>
      <c r="I565" s="40"/>
      <c r="J565" s="225"/>
      <c r="K565" s="225"/>
      <c r="L565" s="225"/>
      <c r="M565" s="225"/>
      <c r="N565" s="226"/>
      <c r="O565" s="213"/>
      <c r="P565" s="125"/>
    </row>
    <row r="566" spans="1:18" s="109" customFormat="1" x14ac:dyDescent="0.15">
      <c r="A566" s="35">
        <f>IF(G566&lt;&gt;"",1+MAX($A$6:A565),"")</f>
        <v>390</v>
      </c>
      <c r="B566" s="104" t="s">
        <v>440</v>
      </c>
      <c r="C566" s="105"/>
      <c r="D566" s="120"/>
      <c r="E566" s="123" t="s">
        <v>100</v>
      </c>
      <c r="F566" s="108" t="s">
        <v>81</v>
      </c>
      <c r="G566" s="124">
        <v>1</v>
      </c>
      <c r="H566" s="121">
        <v>7.0000000000000007E-2</v>
      </c>
      <c r="I566" s="107">
        <f t="shared" ref="I566" si="192">G566*(1+H566)</f>
        <v>1.07</v>
      </c>
      <c r="J566" s="194">
        <v>10000</v>
      </c>
      <c r="K566" s="194">
        <v>5000</v>
      </c>
      <c r="L566" s="219">
        <f>J566*I566</f>
        <v>10700</v>
      </c>
      <c r="M566" s="219">
        <f>K566*I566</f>
        <v>5350</v>
      </c>
      <c r="N566" s="20">
        <f>L566+M566</f>
        <v>16050</v>
      </c>
      <c r="O566" s="222"/>
      <c r="P566" s="122"/>
      <c r="Q566" s="122"/>
      <c r="R566" s="122"/>
    </row>
    <row r="567" spans="1:18" ht="15.75" thickBot="1" x14ac:dyDescent="0.2">
      <c r="A567" s="35" t="str">
        <f>IF(G567&lt;&gt;"",1+MAX($A$6:A566),"")</f>
        <v/>
      </c>
      <c r="B567" s="104"/>
      <c r="C567" s="15"/>
      <c r="D567" s="61"/>
      <c r="E567" s="58"/>
      <c r="F567" s="99"/>
      <c r="G567" s="13"/>
      <c r="H567" s="8"/>
      <c r="I567" s="18"/>
      <c r="J567" s="220"/>
      <c r="K567" s="220"/>
      <c r="L567" s="220"/>
      <c r="M567" s="220"/>
      <c r="N567" s="20"/>
      <c r="O567" s="216"/>
    </row>
    <row r="568" spans="1:18" ht="15.75" thickBot="1" x14ac:dyDescent="0.2">
      <c r="A568" s="35" t="str">
        <f>IF(G568&lt;&gt;"",1+MAX($A$6:A567),"")</f>
        <v/>
      </c>
      <c r="B568" s="106"/>
      <c r="C568" s="14"/>
      <c r="D568" s="62"/>
      <c r="E568" s="63" t="s">
        <v>38</v>
      </c>
      <c r="F568" s="99"/>
      <c r="G568" s="56"/>
      <c r="H568" s="64"/>
      <c r="I568" s="18"/>
      <c r="J568" s="224"/>
      <c r="K568" s="224"/>
      <c r="L568" s="224"/>
      <c r="M568" s="224"/>
      <c r="N568" s="65"/>
      <c r="O568" s="66">
        <f>SUM(N566:N566)</f>
        <v>16050</v>
      </c>
      <c r="P568" s="67"/>
    </row>
    <row r="569" spans="1:18" ht="15.75" thickBot="1" x14ac:dyDescent="0.2">
      <c r="A569" s="35" t="str">
        <f>IF(G569&lt;&gt;"",1+MAX($A$6:A568),"")</f>
        <v/>
      </c>
      <c r="B569" s="104"/>
      <c r="C569" s="15"/>
      <c r="D569" s="61"/>
      <c r="E569" s="47"/>
      <c r="F569" s="99"/>
      <c r="G569" s="13"/>
      <c r="H569" s="8"/>
      <c r="I569" s="18"/>
      <c r="J569" s="220"/>
      <c r="K569" s="220"/>
      <c r="L569" s="220"/>
      <c r="M569" s="220"/>
      <c r="N569" s="20"/>
      <c r="O569" s="216"/>
    </row>
    <row r="570" spans="1:18" s="41" customFormat="1" ht="15.75" thickBot="1" x14ac:dyDescent="0.2">
      <c r="A570" s="35" t="str">
        <f>IF(G570&lt;&gt;"",1+MAX($A$6:A569),"")</f>
        <v/>
      </c>
      <c r="B570" s="112"/>
      <c r="C570" s="36"/>
      <c r="D570" s="37" t="s">
        <v>426</v>
      </c>
      <c r="E570" s="38" t="s">
        <v>89</v>
      </c>
      <c r="F570" s="40"/>
      <c r="G570" s="39"/>
      <c r="H570" s="40"/>
      <c r="I570" s="40"/>
      <c r="J570" s="225"/>
      <c r="K570" s="225"/>
      <c r="L570" s="225"/>
      <c r="M570" s="225"/>
      <c r="N570" s="226"/>
      <c r="O570" s="213"/>
      <c r="P570" s="125"/>
    </row>
    <row r="571" spans="1:18" ht="15.75" thickBot="1" x14ac:dyDescent="0.2">
      <c r="A571" s="35" t="str">
        <f>IF(G571&lt;&gt;"",1+MAX($A$6:A570),"")</f>
        <v/>
      </c>
      <c r="B571" s="104"/>
      <c r="C571" s="42"/>
      <c r="D571" s="43"/>
      <c r="E571" s="240" t="s">
        <v>425</v>
      </c>
      <c r="F571" s="241"/>
      <c r="G571" s="242"/>
      <c r="H571" s="44"/>
      <c r="I571" s="45"/>
      <c r="J571" s="214"/>
      <c r="K571" s="214"/>
      <c r="L571" s="214"/>
      <c r="M571" s="214"/>
      <c r="N571" s="215"/>
      <c r="O571" s="216"/>
    </row>
    <row r="572" spans="1:18" x14ac:dyDescent="0.15">
      <c r="A572" s="35">
        <f>IF(G572&lt;&gt;"",1+MAX($A$6:A571),"")</f>
        <v>391</v>
      </c>
      <c r="B572" s="104" t="s">
        <v>433</v>
      </c>
      <c r="C572" s="15"/>
      <c r="D572" s="57"/>
      <c r="E572" s="167" t="s">
        <v>422</v>
      </c>
      <c r="F572" s="126" t="s">
        <v>31</v>
      </c>
      <c r="G572" s="126">
        <v>4</v>
      </c>
      <c r="H572" s="8">
        <v>7.0000000000000007E-2</v>
      </c>
      <c r="I572" s="18">
        <f t="shared" ref="I572:I575" si="193">G572*(1+H572)</f>
        <v>4.28</v>
      </c>
      <c r="J572" s="194">
        <v>300</v>
      </c>
      <c r="K572" s="194">
        <v>90</v>
      </c>
      <c r="L572" s="219">
        <f>J572*I572</f>
        <v>1284</v>
      </c>
      <c r="M572" s="219">
        <f>K572*I572</f>
        <v>385.20000000000005</v>
      </c>
      <c r="N572" s="20">
        <f t="shared" ref="N572:N574" si="194">L572+M572</f>
        <v>1669.2</v>
      </c>
      <c r="O572" s="216"/>
    </row>
    <row r="573" spans="1:18" x14ac:dyDescent="0.15">
      <c r="A573" s="35">
        <f>IF(G573&lt;&gt;"",1+MAX($A$6:A572),"")</f>
        <v>392</v>
      </c>
      <c r="B573" s="104" t="s">
        <v>433</v>
      </c>
      <c r="C573" s="15"/>
      <c r="D573" s="57"/>
      <c r="E573" s="167" t="s">
        <v>90</v>
      </c>
      <c r="F573" s="126" t="s">
        <v>91</v>
      </c>
      <c r="G573" s="126">
        <v>22.24</v>
      </c>
      <c r="H573" s="8">
        <v>7.0000000000000007E-2</v>
      </c>
      <c r="I573" s="18">
        <f t="shared" si="193"/>
        <v>23.796800000000001</v>
      </c>
      <c r="J573" s="194">
        <v>12</v>
      </c>
      <c r="K573" s="194">
        <v>6</v>
      </c>
      <c r="L573" s="219">
        <f>J573*I573</f>
        <v>285.5616</v>
      </c>
      <c r="M573" s="219">
        <f>K573*I573</f>
        <v>142.7808</v>
      </c>
      <c r="N573" s="20">
        <f t="shared" si="194"/>
        <v>428.3424</v>
      </c>
      <c r="O573" s="216"/>
    </row>
    <row r="574" spans="1:18" x14ac:dyDescent="0.15">
      <c r="A574" s="35">
        <f>IF(G574&lt;&gt;"",1+MAX($A$6:A573),"")</f>
        <v>393</v>
      </c>
      <c r="B574" s="104" t="s">
        <v>433</v>
      </c>
      <c r="C574" s="15"/>
      <c r="D574" s="14"/>
      <c r="E574" s="167" t="s">
        <v>423</v>
      </c>
      <c r="F574" s="126" t="s">
        <v>31</v>
      </c>
      <c r="G574" s="126">
        <v>26</v>
      </c>
      <c r="H574" s="8">
        <v>7.0000000000000007E-2</v>
      </c>
      <c r="I574" s="18">
        <f t="shared" si="193"/>
        <v>27.82</v>
      </c>
      <c r="J574" s="194">
        <v>200</v>
      </c>
      <c r="K574" s="194">
        <v>50</v>
      </c>
      <c r="L574" s="219">
        <f>J574*I574</f>
        <v>5564</v>
      </c>
      <c r="M574" s="219">
        <f>K574*I574</f>
        <v>1391</v>
      </c>
      <c r="N574" s="20">
        <f t="shared" si="194"/>
        <v>6955</v>
      </c>
      <c r="O574" s="216"/>
    </row>
    <row r="575" spans="1:18" s="109" customFormat="1" x14ac:dyDescent="0.15">
      <c r="A575" s="35">
        <f>IF(G575&lt;&gt;"",1+MAX($A$6:A574),"")</f>
        <v>394</v>
      </c>
      <c r="B575" s="104" t="s">
        <v>433</v>
      </c>
      <c r="C575" s="105"/>
      <c r="D575" s="120"/>
      <c r="E575" s="167" t="s">
        <v>424</v>
      </c>
      <c r="F575" s="126" t="s">
        <v>91</v>
      </c>
      <c r="G575" s="126">
        <v>854.92</v>
      </c>
      <c r="H575" s="121">
        <v>7.0000000000000007E-2</v>
      </c>
      <c r="I575" s="107">
        <f t="shared" si="193"/>
        <v>914.76440000000002</v>
      </c>
      <c r="J575" s="194">
        <v>3</v>
      </c>
      <c r="K575" s="194">
        <v>2</v>
      </c>
      <c r="L575" s="219">
        <f>J575*I575</f>
        <v>2744.2932000000001</v>
      </c>
      <c r="M575" s="219">
        <f>K575*I575</f>
        <v>1829.5288</v>
      </c>
      <c r="N575" s="20">
        <f>L575+M575</f>
        <v>4573.8220000000001</v>
      </c>
      <c r="O575" s="222"/>
      <c r="P575" s="122"/>
      <c r="Q575" s="122"/>
      <c r="R575" s="122"/>
    </row>
    <row r="576" spans="1:18" ht="15.75" thickBot="1" x14ac:dyDescent="0.2">
      <c r="A576" s="35" t="str">
        <f>IF(G576&lt;&gt;"",1+MAX($A$6:A575),"")</f>
        <v/>
      </c>
      <c r="B576" s="104"/>
      <c r="C576" s="15"/>
      <c r="D576" s="61"/>
      <c r="E576" s="58"/>
      <c r="F576" s="99"/>
      <c r="G576" s="13"/>
      <c r="H576" s="8"/>
      <c r="I576" s="18"/>
      <c r="J576" s="220"/>
      <c r="K576" s="220"/>
      <c r="L576" s="220"/>
      <c r="M576" s="220"/>
      <c r="N576" s="20"/>
      <c r="O576" s="216"/>
    </row>
    <row r="577" spans="1:31" ht="15.75" thickBot="1" x14ac:dyDescent="0.2">
      <c r="A577" s="35" t="str">
        <f>IF(G577&lt;&gt;"",1+MAX($A$6:A576),"")</f>
        <v/>
      </c>
      <c r="B577" s="106"/>
      <c r="C577" s="14"/>
      <c r="D577" s="62"/>
      <c r="E577" s="63" t="s">
        <v>38</v>
      </c>
      <c r="F577" s="99"/>
      <c r="G577" s="56"/>
      <c r="H577" s="64"/>
      <c r="I577" s="18"/>
      <c r="J577" s="224"/>
      <c r="K577" s="224"/>
      <c r="L577" s="224"/>
      <c r="M577" s="224"/>
      <c r="N577" s="65"/>
      <c r="O577" s="66">
        <f>SUM(N572:N575)</f>
        <v>13626.3644</v>
      </c>
      <c r="P577" s="67"/>
    </row>
    <row r="578" spans="1:31" ht="18.75" x14ac:dyDescent="0.15">
      <c r="A578" s="35" t="str">
        <f>IF(G578&lt;&gt;"",1+MAX($A$6:A141),"")</f>
        <v/>
      </c>
      <c r="B578" s="106"/>
      <c r="C578" s="14"/>
      <c r="D578" s="62"/>
      <c r="E578" s="68"/>
      <c r="F578" s="99"/>
      <c r="G578" s="56"/>
      <c r="H578" s="64"/>
      <c r="I578" s="18"/>
      <c r="J578" s="224"/>
      <c r="K578" s="224"/>
      <c r="L578" s="224"/>
      <c r="M578" s="224"/>
      <c r="N578" s="69"/>
      <c r="O578" s="227"/>
    </row>
    <row r="579" spans="1:31" ht="15.75" thickBot="1" x14ac:dyDescent="0.2">
      <c r="A579" s="35" t="str">
        <f>IF(G579&lt;&gt;"",1+MAX($A$6:A578),"")</f>
        <v/>
      </c>
      <c r="B579" s="114"/>
      <c r="C579" s="70"/>
      <c r="D579" s="70"/>
      <c r="E579" s="71"/>
      <c r="F579" s="100"/>
      <c r="G579" s="72"/>
      <c r="H579" s="73"/>
      <c r="I579" s="73"/>
      <c r="J579" s="228"/>
      <c r="K579" s="228"/>
      <c r="L579" s="228"/>
      <c r="M579" s="228"/>
      <c r="N579" s="229"/>
      <c r="O579" s="230"/>
    </row>
    <row r="580" spans="1:31" s="22" customFormat="1" ht="15.75" thickBot="1" x14ac:dyDescent="0.2">
      <c r="A580" s="2" t="s">
        <v>8</v>
      </c>
      <c r="B580" s="115"/>
      <c r="C580" s="3"/>
      <c r="D580" s="3"/>
      <c r="E580" s="4"/>
      <c r="F580" s="6"/>
      <c r="G580" s="5"/>
      <c r="H580" s="6"/>
      <c r="I580" s="6"/>
      <c r="J580" s="231"/>
      <c r="K580" s="231"/>
      <c r="L580" s="231"/>
      <c r="M580" s="231"/>
      <c r="N580" s="10">
        <f>(SUM(N7:N579))</f>
        <v>6494518.0375465574</v>
      </c>
      <c r="O580" s="74">
        <f>SUM(O7:O579)</f>
        <v>6494518.0375465555</v>
      </c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</row>
    <row r="581" spans="1:31" s="22" customFormat="1" ht="15.75" thickBot="1" x14ac:dyDescent="0.2">
      <c r="A581" s="75" t="s">
        <v>28</v>
      </c>
      <c r="B581" s="116"/>
      <c r="C581" s="76"/>
      <c r="D581" s="76"/>
      <c r="E581" s="77"/>
      <c r="F581" s="101"/>
      <c r="G581" s="78"/>
      <c r="H581" s="79"/>
      <c r="I581" s="79"/>
      <c r="J581" s="239">
        <v>0.125</v>
      </c>
      <c r="K581" s="239">
        <v>0.125</v>
      </c>
      <c r="L581" s="239">
        <v>0.125</v>
      </c>
      <c r="M581" s="239">
        <v>0.125</v>
      </c>
      <c r="N581" s="80">
        <f>N580*J581</f>
        <v>811814.75469331967</v>
      </c>
      <c r="O581" s="9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</row>
    <row r="582" spans="1:31" s="22" customFormat="1" ht="15.75" thickBot="1" x14ac:dyDescent="0.2">
      <c r="A582" s="81" t="s">
        <v>2</v>
      </c>
      <c r="B582" s="117"/>
      <c r="C582" s="82"/>
      <c r="D582" s="82"/>
      <c r="E582" s="83"/>
      <c r="F582" s="86"/>
      <c r="G582" s="84"/>
      <c r="H582" s="85"/>
      <c r="I582" s="86"/>
      <c r="J582" s="232"/>
      <c r="K582" s="232"/>
      <c r="L582" s="232"/>
      <c r="M582" s="232"/>
      <c r="N582" s="87">
        <f>SUM(N580:N581)</f>
        <v>7306332.7922398774</v>
      </c>
      <c r="O582" s="88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</row>
    <row r="583" spans="1:31" x14ac:dyDescent="0.15">
      <c r="A583" s="89"/>
      <c r="B583" s="109"/>
      <c r="C583" s="19"/>
      <c r="D583" s="19"/>
      <c r="E583" s="19"/>
      <c r="F583" s="98"/>
      <c r="G583" s="19"/>
      <c r="H583" s="19"/>
      <c r="I583" s="19"/>
      <c r="J583" s="233"/>
      <c r="K583" s="233"/>
      <c r="L583" s="233"/>
      <c r="M583" s="233"/>
      <c r="O583" s="227"/>
    </row>
    <row r="584" spans="1:31" ht="15.75" thickBot="1" x14ac:dyDescent="0.2">
      <c r="A584" s="90"/>
      <c r="B584" s="118"/>
      <c r="C584" s="91"/>
      <c r="D584" s="91"/>
      <c r="E584" s="91"/>
      <c r="F584" s="102"/>
      <c r="G584" s="91"/>
      <c r="H584" s="91"/>
      <c r="I584" s="91"/>
      <c r="J584" s="234"/>
      <c r="K584" s="234"/>
      <c r="L584" s="234"/>
      <c r="M584" s="234"/>
      <c r="N584" s="234"/>
      <c r="O584" s="235"/>
    </row>
    <row r="585" spans="1:31" x14ac:dyDescent="0.15">
      <c r="J585" s="236"/>
      <c r="K585" s="236"/>
      <c r="L585" s="236"/>
      <c r="M585" s="236"/>
    </row>
    <row r="586" spans="1:31" x14ac:dyDescent="0.15">
      <c r="J586" s="236"/>
      <c r="K586" s="236"/>
      <c r="L586" s="236"/>
      <c r="M586" s="236"/>
    </row>
    <row r="587" spans="1:31" x14ac:dyDescent="0.15">
      <c r="J587" s="236"/>
      <c r="K587" s="236"/>
      <c r="L587" s="236"/>
      <c r="M587" s="236"/>
    </row>
    <row r="588" spans="1:31" x14ac:dyDescent="0.15">
      <c r="J588" s="236"/>
      <c r="K588" s="236"/>
      <c r="L588" s="236"/>
      <c r="M588" s="236"/>
    </row>
    <row r="589" spans="1:31" x14ac:dyDescent="0.15">
      <c r="J589" s="236"/>
      <c r="K589" s="236"/>
      <c r="L589" s="236"/>
      <c r="M589" s="236"/>
    </row>
    <row r="590" spans="1:31" x14ac:dyDescent="0.15">
      <c r="J590" s="236"/>
      <c r="K590" s="236"/>
      <c r="L590" s="236"/>
      <c r="M590" s="236"/>
    </row>
    <row r="591" spans="1:31" x14ac:dyDescent="0.15">
      <c r="J591" s="236"/>
      <c r="K591" s="236"/>
      <c r="L591" s="236"/>
      <c r="M591" s="236"/>
    </row>
    <row r="592" spans="1:31" x14ac:dyDescent="0.15">
      <c r="J592" s="236"/>
      <c r="K592" s="236"/>
      <c r="L592" s="236"/>
      <c r="M592" s="236"/>
    </row>
  </sheetData>
  <mergeCells count="70">
    <mergeCell ref="J480:N483"/>
    <mergeCell ref="C491:D494"/>
    <mergeCell ref="G491:H494"/>
    <mergeCell ref="J491:N494"/>
    <mergeCell ref="E281:G281"/>
    <mergeCell ref="J458:N461"/>
    <mergeCell ref="C463:D466"/>
    <mergeCell ref="G463:H466"/>
    <mergeCell ref="J463:N466"/>
    <mergeCell ref="C468:D471"/>
    <mergeCell ref="G468:H471"/>
    <mergeCell ref="J468:N471"/>
    <mergeCell ref="J422:N425"/>
    <mergeCell ref="C434:D437"/>
    <mergeCell ref="G434:H437"/>
    <mergeCell ref="J434:N437"/>
    <mergeCell ref="C446:D449"/>
    <mergeCell ref="G446:H449"/>
    <mergeCell ref="J446:N449"/>
    <mergeCell ref="J389:N392"/>
    <mergeCell ref="C402:D405"/>
    <mergeCell ref="G402:H405"/>
    <mergeCell ref="J402:N405"/>
    <mergeCell ref="C411:D414"/>
    <mergeCell ref="G411:H414"/>
    <mergeCell ref="J411:N414"/>
    <mergeCell ref="E571:G571"/>
    <mergeCell ref="E250:G250"/>
    <mergeCell ref="E252:G252"/>
    <mergeCell ref="E275:G275"/>
    <mergeCell ref="C389:D392"/>
    <mergeCell ref="G389:H392"/>
    <mergeCell ref="C422:D425"/>
    <mergeCell ref="G422:H425"/>
    <mergeCell ref="C458:D461"/>
    <mergeCell ref="G458:H461"/>
    <mergeCell ref="C480:D483"/>
    <mergeCell ref="G480:H483"/>
    <mergeCell ref="E521:G521"/>
    <mergeCell ref="E525:G525"/>
    <mergeCell ref="E543:G543"/>
    <mergeCell ref="E549:G549"/>
    <mergeCell ref="E534:G534"/>
    <mergeCell ref="E332:G332"/>
    <mergeCell ref="E339:G339"/>
    <mergeCell ref="E345:G345"/>
    <mergeCell ref="E364:G364"/>
    <mergeCell ref="E512:G512"/>
    <mergeCell ref="E382:G382"/>
    <mergeCell ref="E501:G501"/>
    <mergeCell ref="E506:G506"/>
    <mergeCell ref="E309:G309"/>
    <mergeCell ref="E319:G319"/>
    <mergeCell ref="E322:G322"/>
    <mergeCell ref="E327:G327"/>
    <mergeCell ref="E329:G329"/>
    <mergeCell ref="E150:G150"/>
    <mergeCell ref="E152:G152"/>
    <mergeCell ref="E156:G156"/>
    <mergeCell ref="E179:G179"/>
    <mergeCell ref="E287:G287"/>
    <mergeCell ref="E184:G184"/>
    <mergeCell ref="E8:G8"/>
    <mergeCell ref="E143:G143"/>
    <mergeCell ref="E116:G116"/>
    <mergeCell ref="E109:G109"/>
    <mergeCell ref="E98:G98"/>
    <mergeCell ref="E77:G77"/>
    <mergeCell ref="E51:G51"/>
    <mergeCell ref="E105:G105"/>
  </mergeCells>
  <phoneticPr fontId="42" type="noConversion"/>
  <pageMargins left="0.7" right="0.7" top="0.75" bottom="0.75" header="0.3" footer="0.3"/>
  <pageSetup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AF62D2C8-5633-47B4-AB42-686C1BC78E3F}">
  <ds:schemaRefs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2022-06-03T17:50:40Z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{AF62D2C8-5633-47B4-AB42-686C1BC78E3F}</vt:lpwstr>
  </property>
</Properties>
</file>