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codeName="ThisWorkbook" defaultThemeVersion="124226"/>
  <xr:revisionPtr revIDLastSave="0" documentId="8_{E4310380-AD8C-D045-8A13-1ABA3B0640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id" sheetId="13" r:id="rId1"/>
  </sheets>
  <definedNames>
    <definedName name="_xlnm._FilterDatabase" localSheetId="0" hidden="1">Bid!$A$1:$O$393</definedName>
    <definedName name="_xlnm.Print_Area" localSheetId="0">Bid!$A$1:$P$386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3" l="1"/>
  <c r="A8" i="13"/>
  <c r="A9" i="13"/>
  <c r="G10" i="13"/>
  <c r="A10" i="13"/>
  <c r="G11" i="13"/>
  <c r="A11" i="13"/>
  <c r="G12" i="13"/>
  <c r="A12" i="13"/>
  <c r="G13" i="13"/>
  <c r="A13" i="13"/>
  <c r="G14" i="13"/>
  <c r="A14" i="13"/>
  <c r="A15" i="13"/>
  <c r="A16" i="13"/>
  <c r="G17" i="13"/>
  <c r="A17" i="13"/>
  <c r="G18" i="13"/>
  <c r="A18" i="13"/>
  <c r="G19" i="13"/>
  <c r="A19" i="13"/>
  <c r="G20" i="13"/>
  <c r="A20" i="13"/>
  <c r="G21" i="13"/>
  <c r="A21" i="13"/>
  <c r="A22" i="13"/>
  <c r="A23" i="13"/>
  <c r="A24" i="13"/>
  <c r="G25" i="13"/>
  <c r="A25" i="13"/>
  <c r="G26" i="13"/>
  <c r="A26" i="13"/>
  <c r="G27" i="13"/>
  <c r="A27" i="13"/>
  <c r="G28" i="13"/>
  <c r="A28" i="13"/>
  <c r="G29" i="13"/>
  <c r="A29" i="13"/>
  <c r="A30" i="13"/>
  <c r="A31" i="13"/>
  <c r="G32" i="13"/>
  <c r="A32" i="13"/>
  <c r="G33" i="13"/>
  <c r="A33" i="13"/>
  <c r="G34" i="13"/>
  <c r="A34" i="13"/>
  <c r="G35" i="13"/>
  <c r="A35" i="13"/>
  <c r="G36" i="13"/>
  <c r="A36" i="13"/>
  <c r="A37" i="13"/>
  <c r="A38" i="13"/>
  <c r="A39" i="13"/>
  <c r="G40" i="13"/>
  <c r="A40" i="13"/>
  <c r="G41" i="13"/>
  <c r="A41" i="13"/>
  <c r="G42" i="13"/>
  <c r="A42" i="13"/>
  <c r="A43" i="13"/>
  <c r="A44" i="13"/>
  <c r="A45" i="13"/>
  <c r="G46" i="13"/>
  <c r="A46" i="13"/>
  <c r="A47" i="13"/>
  <c r="G48" i="13"/>
  <c r="A48" i="13"/>
  <c r="A49" i="13"/>
  <c r="G50" i="13"/>
  <c r="A50" i="13"/>
  <c r="G51" i="13"/>
  <c r="A51" i="13"/>
  <c r="A52" i="13"/>
  <c r="A53" i="13"/>
  <c r="G54" i="13"/>
  <c r="A54" i="13"/>
  <c r="G55" i="13"/>
  <c r="A55" i="13"/>
  <c r="G56" i="13"/>
  <c r="A56" i="13"/>
  <c r="A57" i="13"/>
  <c r="A58" i="13"/>
  <c r="G59" i="13"/>
  <c r="A59" i="13"/>
  <c r="A60" i="13"/>
  <c r="G61" i="13"/>
  <c r="A61" i="13"/>
  <c r="A62" i="13"/>
  <c r="A63" i="13"/>
  <c r="G64" i="13"/>
  <c r="A64" i="13"/>
  <c r="G65" i="13"/>
  <c r="A65" i="13"/>
  <c r="G66" i="13"/>
  <c r="A66" i="13"/>
  <c r="A67" i="13"/>
  <c r="A68" i="13"/>
  <c r="G69" i="13"/>
  <c r="A69" i="13"/>
  <c r="G70" i="13"/>
  <c r="A70" i="13"/>
  <c r="G71" i="13"/>
  <c r="A71" i="13"/>
  <c r="G72" i="13"/>
  <c r="A72" i="13"/>
  <c r="G73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G103" i="13"/>
  <c r="A103" i="13"/>
  <c r="G104" i="13"/>
  <c r="A104" i="13"/>
  <c r="G105" i="13"/>
  <c r="A105" i="13"/>
  <c r="G106" i="13"/>
  <c r="A106" i="13"/>
  <c r="A107" i="13"/>
  <c r="A108" i="13"/>
  <c r="A109" i="13"/>
  <c r="A110" i="13"/>
  <c r="A111" i="13"/>
  <c r="A112" i="13"/>
  <c r="A113" i="13"/>
  <c r="G114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G241" i="13"/>
  <c r="A241" i="13"/>
  <c r="A242" i="13"/>
  <c r="A243" i="13"/>
  <c r="A244" i="13"/>
  <c r="A245" i="13"/>
  <c r="A246" i="13"/>
  <c r="A247" i="13"/>
  <c r="A248" i="13"/>
  <c r="A249" i="13"/>
  <c r="A250" i="13"/>
  <c r="A251" i="13"/>
  <c r="A252" i="13"/>
  <c r="A253" i="13"/>
  <c r="A254" i="13"/>
  <c r="A255" i="13"/>
  <c r="A256" i="13"/>
  <c r="A257" i="13"/>
  <c r="A258" i="13"/>
  <c r="A259" i="13"/>
  <c r="A260" i="13"/>
  <c r="A261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I277" i="13"/>
  <c r="L277" i="13"/>
  <c r="A279" i="13"/>
  <c r="A280" i="13"/>
  <c r="A281" i="13"/>
  <c r="A282" i="13"/>
  <c r="A284" i="13"/>
  <c r="A285" i="13"/>
  <c r="A286" i="13"/>
  <c r="A287" i="13"/>
  <c r="A289" i="13"/>
  <c r="A290" i="13"/>
  <c r="A291" i="13"/>
  <c r="A292" i="13"/>
  <c r="A293" i="13"/>
  <c r="A301" i="13"/>
  <c r="A304" i="13"/>
  <c r="A307" i="13"/>
  <c r="A310" i="13"/>
  <c r="A313" i="13"/>
  <c r="A316" i="13"/>
  <c r="A319" i="13"/>
  <c r="A326" i="13"/>
  <c r="A346" i="13"/>
  <c r="A354" i="13"/>
  <c r="A356" i="13"/>
  <c r="A361" i="13"/>
  <c r="A363" i="13"/>
  <c r="A372" i="13"/>
  <c r="I345" i="13"/>
  <c r="L345" i="13"/>
  <c r="I114" i="13"/>
  <c r="L114" i="13"/>
  <c r="I106" i="13"/>
  <c r="I105" i="13"/>
  <c r="L105" i="13"/>
  <c r="I103" i="13"/>
  <c r="L103" i="13"/>
  <c r="I71" i="13"/>
  <c r="I70" i="13"/>
  <c r="M70" i="13"/>
  <c r="I69" i="13"/>
  <c r="I376" i="13"/>
  <c r="M376" i="13"/>
  <c r="I375" i="13"/>
  <c r="L375" i="13"/>
  <c r="I374" i="13"/>
  <c r="M374" i="13"/>
  <c r="I373" i="13"/>
  <c r="M373" i="13"/>
  <c r="I371" i="13"/>
  <c r="M371" i="13"/>
  <c r="I370" i="13"/>
  <c r="M370" i="13"/>
  <c r="I369" i="13"/>
  <c r="M369" i="13"/>
  <c r="I368" i="13"/>
  <c r="M368" i="13"/>
  <c r="I367" i="13"/>
  <c r="M367" i="13"/>
  <c r="I366" i="13"/>
  <c r="M366" i="13"/>
  <c r="I365" i="13"/>
  <c r="M365" i="13"/>
  <c r="I364" i="13"/>
  <c r="L364" i="13"/>
  <c r="I362" i="13"/>
  <c r="M362" i="13"/>
  <c r="I360" i="13"/>
  <c r="M360" i="13"/>
  <c r="I359" i="13"/>
  <c r="L359" i="13"/>
  <c r="I358" i="13"/>
  <c r="M358" i="13"/>
  <c r="I357" i="13"/>
  <c r="M357" i="13"/>
  <c r="I355" i="13"/>
  <c r="M355" i="13"/>
  <c r="I353" i="13"/>
  <c r="M353" i="13"/>
  <c r="I352" i="13"/>
  <c r="M352" i="13"/>
  <c r="I351" i="13"/>
  <c r="M351" i="13"/>
  <c r="I350" i="13"/>
  <c r="L350" i="13"/>
  <c r="I349" i="13"/>
  <c r="L349" i="13"/>
  <c r="I348" i="13"/>
  <c r="M348" i="13"/>
  <c r="I347" i="13"/>
  <c r="M347" i="13"/>
  <c r="I344" i="13"/>
  <c r="M344" i="13"/>
  <c r="I343" i="13"/>
  <c r="M343" i="13"/>
  <c r="I342" i="13"/>
  <c r="M342" i="13"/>
  <c r="I341" i="13"/>
  <c r="M341" i="13"/>
  <c r="I340" i="13"/>
  <c r="L340" i="13"/>
  <c r="I339" i="13"/>
  <c r="M339" i="13"/>
  <c r="I338" i="13"/>
  <c r="M338" i="13"/>
  <c r="I337" i="13"/>
  <c r="M337" i="13"/>
  <c r="I336" i="13"/>
  <c r="L336" i="13"/>
  <c r="I335" i="13"/>
  <c r="L335" i="13"/>
  <c r="I334" i="13"/>
  <c r="L334" i="13"/>
  <c r="I333" i="13"/>
  <c r="M333" i="13"/>
  <c r="I332" i="13"/>
  <c r="M332" i="13"/>
  <c r="I331" i="13"/>
  <c r="M331" i="13"/>
  <c r="I330" i="13"/>
  <c r="M330" i="13"/>
  <c r="I329" i="13"/>
  <c r="L329" i="13"/>
  <c r="I328" i="13"/>
  <c r="M328" i="13"/>
  <c r="I327" i="13"/>
  <c r="L327" i="13"/>
  <c r="I325" i="13"/>
  <c r="M325" i="13"/>
  <c r="I324" i="13"/>
  <c r="M324" i="13"/>
  <c r="I323" i="13"/>
  <c r="M323" i="13"/>
  <c r="I322" i="13"/>
  <c r="M322" i="13"/>
  <c r="I321" i="13"/>
  <c r="L321" i="13"/>
  <c r="I320" i="13"/>
  <c r="M320" i="13"/>
  <c r="I318" i="13"/>
  <c r="L318" i="13"/>
  <c r="I317" i="13"/>
  <c r="M317" i="13"/>
  <c r="I262" i="13"/>
  <c r="M262" i="13"/>
  <c r="I265" i="13"/>
  <c r="L265" i="13"/>
  <c r="I266" i="13"/>
  <c r="L266" i="13"/>
  <c r="I241" i="13"/>
  <c r="M241" i="13"/>
  <c r="I243" i="13"/>
  <c r="M243" i="13"/>
  <c r="I239" i="13"/>
  <c r="L239" i="13"/>
  <c r="I238" i="13"/>
  <c r="M238" i="13"/>
  <c r="I237" i="13"/>
  <c r="M237" i="13"/>
  <c r="I236" i="13"/>
  <c r="L236" i="13"/>
  <c r="I234" i="13"/>
  <c r="M234" i="13"/>
  <c r="I233" i="13"/>
  <c r="M233" i="13"/>
  <c r="I232" i="13"/>
  <c r="L232" i="13"/>
  <c r="I227" i="13"/>
  <c r="M227" i="13"/>
  <c r="I225" i="13"/>
  <c r="L225" i="13"/>
  <c r="I224" i="13"/>
  <c r="L224" i="13"/>
  <c r="I223" i="13"/>
  <c r="L223" i="13"/>
  <c r="I218" i="13"/>
  <c r="M218" i="13"/>
  <c r="I216" i="13"/>
  <c r="L216" i="13"/>
  <c r="I215" i="13"/>
  <c r="M215" i="13"/>
  <c r="I214" i="13"/>
  <c r="M214" i="13"/>
  <c r="I209" i="13"/>
  <c r="L209" i="13"/>
  <c r="I207" i="13"/>
  <c r="L207" i="13"/>
  <c r="I206" i="13"/>
  <c r="M206" i="13"/>
  <c r="I205" i="13"/>
  <c r="M205" i="13"/>
  <c r="I200" i="13"/>
  <c r="L200" i="13"/>
  <c r="I198" i="13"/>
  <c r="M198" i="13"/>
  <c r="I197" i="13"/>
  <c r="M197" i="13"/>
  <c r="I196" i="13"/>
  <c r="L196" i="13"/>
  <c r="I251" i="13"/>
  <c r="M251" i="13"/>
  <c r="I250" i="13"/>
  <c r="M250" i="13"/>
  <c r="I249" i="13"/>
  <c r="L249" i="13"/>
  <c r="I248" i="13"/>
  <c r="M248" i="13"/>
  <c r="I247" i="13"/>
  <c r="M247" i="13"/>
  <c r="I245" i="13"/>
  <c r="L245" i="13"/>
  <c r="I244" i="13"/>
  <c r="M244" i="13"/>
  <c r="I191" i="13"/>
  <c r="M191" i="13"/>
  <c r="I189" i="13"/>
  <c r="M189" i="13"/>
  <c r="I188" i="13"/>
  <c r="L188" i="13"/>
  <c r="I187" i="13"/>
  <c r="M187" i="13"/>
  <c r="I182" i="13"/>
  <c r="M182" i="13"/>
  <c r="I180" i="13"/>
  <c r="M180" i="13"/>
  <c r="I179" i="13"/>
  <c r="M179" i="13"/>
  <c r="I178" i="13"/>
  <c r="L178" i="13"/>
  <c r="I173" i="13"/>
  <c r="L173" i="13"/>
  <c r="I171" i="13"/>
  <c r="M171" i="13"/>
  <c r="I170" i="13"/>
  <c r="L170" i="13"/>
  <c r="I169" i="13"/>
  <c r="M169" i="13"/>
  <c r="I164" i="13"/>
  <c r="L164" i="13"/>
  <c r="I162" i="13"/>
  <c r="L162" i="13"/>
  <c r="I161" i="13"/>
  <c r="M161" i="13"/>
  <c r="I160" i="13"/>
  <c r="M160" i="13"/>
  <c r="I159" i="13"/>
  <c r="M159" i="13"/>
  <c r="I157" i="13"/>
  <c r="M157" i="13"/>
  <c r="I156" i="13"/>
  <c r="L156" i="13"/>
  <c r="I155" i="13"/>
  <c r="M155" i="13"/>
  <c r="I154" i="13"/>
  <c r="M154" i="13"/>
  <c r="I152" i="13"/>
  <c r="L152" i="13"/>
  <c r="I151" i="13"/>
  <c r="M151" i="13"/>
  <c r="I150" i="13"/>
  <c r="M150" i="13"/>
  <c r="I121" i="13"/>
  <c r="L121" i="13"/>
  <c r="I122" i="13"/>
  <c r="L122" i="13"/>
  <c r="I124" i="13"/>
  <c r="L124" i="13"/>
  <c r="I125" i="13"/>
  <c r="L125" i="13"/>
  <c r="I129" i="13"/>
  <c r="L129" i="13"/>
  <c r="I130" i="13"/>
  <c r="L130" i="13"/>
  <c r="I131" i="13"/>
  <c r="L131" i="13"/>
  <c r="I132" i="13"/>
  <c r="L132" i="13"/>
  <c r="I133" i="13"/>
  <c r="L133" i="13"/>
  <c r="I134" i="13"/>
  <c r="L134" i="13"/>
  <c r="I135" i="13"/>
  <c r="L135" i="13"/>
  <c r="I101" i="13"/>
  <c r="L101" i="13"/>
  <c r="I94" i="13"/>
  <c r="L94" i="13"/>
  <c r="I95" i="13"/>
  <c r="L95" i="13"/>
  <c r="I96" i="13"/>
  <c r="L96" i="13"/>
  <c r="I97" i="13"/>
  <c r="L97" i="13"/>
  <c r="I98" i="13"/>
  <c r="L98" i="13"/>
  <c r="I100" i="13"/>
  <c r="L100" i="13"/>
  <c r="I87" i="13"/>
  <c r="L87" i="13"/>
  <c r="I61" i="13"/>
  <c r="I56" i="13"/>
  <c r="L56" i="13"/>
  <c r="I55" i="13"/>
  <c r="L55" i="13"/>
  <c r="I54" i="13"/>
  <c r="I60" i="13"/>
  <c r="M60" i="13"/>
  <c r="I59" i="13"/>
  <c r="I48" i="13"/>
  <c r="I47" i="13"/>
  <c r="M47" i="13"/>
  <c r="I65" i="13"/>
  <c r="I66" i="13"/>
  <c r="I64" i="13"/>
  <c r="I19" i="13"/>
  <c r="I18" i="13"/>
  <c r="I17" i="13"/>
  <c r="I283" i="13"/>
  <c r="L283" i="13"/>
  <c r="I264" i="13"/>
  <c r="M264" i="13"/>
  <c r="I267" i="13"/>
  <c r="L267" i="13"/>
  <c r="I268" i="13"/>
  <c r="L268" i="13"/>
  <c r="I148" i="13"/>
  <c r="L148" i="13"/>
  <c r="I113" i="13"/>
  <c r="L113" i="13"/>
  <c r="I81" i="13"/>
  <c r="L81" i="13"/>
  <c r="I83" i="13"/>
  <c r="L83" i="13"/>
  <c r="I84" i="13"/>
  <c r="L84" i="13"/>
  <c r="I85" i="13"/>
  <c r="L85" i="13"/>
  <c r="I315" i="13"/>
  <c r="M315" i="13"/>
  <c r="I314" i="13"/>
  <c r="L314" i="13"/>
  <c r="I312" i="13"/>
  <c r="L312" i="13"/>
  <c r="I311" i="13"/>
  <c r="M311" i="13"/>
  <c r="I309" i="13"/>
  <c r="M309" i="13"/>
  <c r="A378" i="13"/>
  <c r="A377" i="13"/>
  <c r="I308" i="13"/>
  <c r="M308" i="13"/>
  <c r="I306" i="13"/>
  <c r="L306" i="13"/>
  <c r="I305" i="13"/>
  <c r="M305" i="13"/>
  <c r="I303" i="13"/>
  <c r="L303" i="13"/>
  <c r="I302" i="13"/>
  <c r="M302" i="13"/>
  <c r="I300" i="13"/>
  <c r="M300" i="13"/>
  <c r="I299" i="13"/>
  <c r="M299" i="13"/>
  <c r="I298" i="13"/>
  <c r="L298" i="13"/>
  <c r="I297" i="13"/>
  <c r="L297" i="13"/>
  <c r="I296" i="13"/>
  <c r="L296" i="13"/>
  <c r="I295" i="13"/>
  <c r="M295" i="13"/>
  <c r="I294" i="13"/>
  <c r="M294" i="13"/>
  <c r="I288" i="13"/>
  <c r="M288" i="13"/>
  <c r="M277" i="13"/>
  <c r="N277" i="13"/>
  <c r="I73" i="13"/>
  <c r="M345" i="13"/>
  <c r="N345" i="13"/>
  <c r="M114" i="13"/>
  <c r="N114" i="13"/>
  <c r="M106" i="13"/>
  <c r="L106" i="13"/>
  <c r="I104" i="13"/>
  <c r="L104" i="13"/>
  <c r="M105" i="13"/>
  <c r="N105" i="13"/>
  <c r="M103" i="13"/>
  <c r="N103" i="13"/>
  <c r="I72" i="13"/>
  <c r="L347" i="13"/>
  <c r="N347" i="13"/>
  <c r="L357" i="13"/>
  <c r="N357" i="13"/>
  <c r="M334" i="13"/>
  <c r="N334" i="13"/>
  <c r="L341" i="13"/>
  <c r="N341" i="13"/>
  <c r="M375" i="13"/>
  <c r="N375" i="13"/>
  <c r="M359" i="13"/>
  <c r="N359" i="13"/>
  <c r="L369" i="13"/>
  <c r="N369" i="13"/>
  <c r="L71" i="13"/>
  <c r="M71" i="13"/>
  <c r="M69" i="13"/>
  <c r="L69" i="13"/>
  <c r="L344" i="13"/>
  <c r="N344" i="13"/>
  <c r="L365" i="13"/>
  <c r="N365" i="13"/>
  <c r="L368" i="13"/>
  <c r="N368" i="13"/>
  <c r="L376" i="13"/>
  <c r="N376" i="13"/>
  <c r="L70" i="13"/>
  <c r="N70" i="13"/>
  <c r="M349" i="13"/>
  <c r="N349" i="13"/>
  <c r="M364" i="13"/>
  <c r="N364" i="13"/>
  <c r="L367" i="13"/>
  <c r="N367" i="13"/>
  <c r="L338" i="13"/>
  <c r="N338" i="13"/>
  <c r="L358" i="13"/>
  <c r="N358" i="13"/>
  <c r="L353" i="13"/>
  <c r="N353" i="13"/>
  <c r="M350" i="13"/>
  <c r="N350" i="13"/>
  <c r="L355" i="13"/>
  <c r="N355" i="13"/>
  <c r="L366" i="13"/>
  <c r="N366" i="13"/>
  <c r="L374" i="13"/>
  <c r="N374" i="13"/>
  <c r="L322" i="13"/>
  <c r="N322" i="13"/>
  <c r="M336" i="13"/>
  <c r="N336" i="13"/>
  <c r="L362" i="13"/>
  <c r="N362" i="13"/>
  <c r="L371" i="13"/>
  <c r="N371" i="13"/>
  <c r="L373" i="13"/>
  <c r="N373" i="13"/>
  <c r="L337" i="13"/>
  <c r="N337" i="13"/>
  <c r="M340" i="13"/>
  <c r="N340" i="13"/>
  <c r="L360" i="13"/>
  <c r="N360" i="13"/>
  <c r="L370" i="13"/>
  <c r="N370" i="13"/>
  <c r="L332" i="13"/>
  <c r="N332" i="13"/>
  <c r="M335" i="13"/>
  <c r="N335" i="13"/>
  <c r="M318" i="13"/>
  <c r="N318" i="13"/>
  <c r="L324" i="13"/>
  <c r="N324" i="13"/>
  <c r="L343" i="13"/>
  <c r="N343" i="13"/>
  <c r="L352" i="13"/>
  <c r="N352" i="13"/>
  <c r="M327" i="13"/>
  <c r="N327" i="13"/>
  <c r="L333" i="13"/>
  <c r="N333" i="13"/>
  <c r="L342" i="13"/>
  <c r="N342" i="13"/>
  <c r="L351" i="13"/>
  <c r="N351" i="13"/>
  <c r="L317" i="13"/>
  <c r="N317" i="13"/>
  <c r="L325" i="13"/>
  <c r="N325" i="13"/>
  <c r="L331" i="13"/>
  <c r="N331" i="13"/>
  <c r="L339" i="13"/>
  <c r="N339" i="13"/>
  <c r="L348" i="13"/>
  <c r="N348" i="13"/>
  <c r="L323" i="13"/>
  <c r="N323" i="13"/>
  <c r="M321" i="13"/>
  <c r="N321" i="13"/>
  <c r="M329" i="13"/>
  <c r="N329" i="13"/>
  <c r="L320" i="13"/>
  <c r="N320" i="13"/>
  <c r="L328" i="13"/>
  <c r="N328" i="13"/>
  <c r="L330" i="13"/>
  <c r="N330" i="13"/>
  <c r="L262" i="13"/>
  <c r="N262" i="13"/>
  <c r="M265" i="13"/>
  <c r="N265" i="13"/>
  <c r="M266" i="13"/>
  <c r="N266" i="13"/>
  <c r="L241" i="13"/>
  <c r="N241" i="13"/>
  <c r="I222" i="13"/>
  <c r="I231" i="13"/>
  <c r="I219" i="13"/>
  <c r="I220" i="13"/>
  <c r="I221" i="13"/>
  <c r="I228" i="13"/>
  <c r="I229" i="13"/>
  <c r="I230" i="13"/>
  <c r="I212" i="13"/>
  <c r="I213" i="13"/>
  <c r="I210" i="13"/>
  <c r="I211" i="13"/>
  <c r="I201" i="13"/>
  <c r="I202" i="13"/>
  <c r="I203" i="13"/>
  <c r="I204" i="13"/>
  <c r="I192" i="13"/>
  <c r="I193" i="13"/>
  <c r="L205" i="13"/>
  <c r="N205" i="13"/>
  <c r="I194" i="13"/>
  <c r="I195" i="13"/>
  <c r="I183" i="13"/>
  <c r="I184" i="13"/>
  <c r="M225" i="13"/>
  <c r="N225" i="13"/>
  <c r="M236" i="13"/>
  <c r="N236" i="13"/>
  <c r="I185" i="13"/>
  <c r="I186" i="13"/>
  <c r="I174" i="13"/>
  <c r="I175" i="13"/>
  <c r="I176" i="13"/>
  <c r="I177" i="13"/>
  <c r="L233" i="13"/>
  <c r="N233" i="13"/>
  <c r="M196" i="13"/>
  <c r="N196" i="13"/>
  <c r="M224" i="13"/>
  <c r="N224" i="13"/>
  <c r="M209" i="13"/>
  <c r="N209" i="13"/>
  <c r="L243" i="13"/>
  <c r="N243" i="13"/>
  <c r="I165" i="13"/>
  <c r="I166" i="13"/>
  <c r="I167" i="13"/>
  <c r="I168" i="13"/>
  <c r="L197" i="13"/>
  <c r="N197" i="13"/>
  <c r="M200" i="13"/>
  <c r="N200" i="13"/>
  <c r="M239" i="13"/>
  <c r="N239" i="13"/>
  <c r="M232" i="13"/>
  <c r="N232" i="13"/>
  <c r="L244" i="13"/>
  <c r="N244" i="13"/>
  <c r="M216" i="13"/>
  <c r="N216" i="13"/>
  <c r="M207" i="13"/>
  <c r="N207" i="13"/>
  <c r="M223" i="13"/>
  <c r="N223" i="13"/>
  <c r="L206" i="13"/>
  <c r="N206" i="13"/>
  <c r="L218" i="13"/>
  <c r="N218" i="13"/>
  <c r="L234" i="13"/>
  <c r="N234" i="13"/>
  <c r="L215" i="13"/>
  <c r="N215" i="13"/>
  <c r="L227" i="13"/>
  <c r="N227" i="13"/>
  <c r="L238" i="13"/>
  <c r="N238" i="13"/>
  <c r="L198" i="13"/>
  <c r="N198" i="13"/>
  <c r="L214" i="13"/>
  <c r="N214" i="13"/>
  <c r="L237" i="13"/>
  <c r="N237" i="13"/>
  <c r="L187" i="13"/>
  <c r="N187" i="13"/>
  <c r="L189" i="13"/>
  <c r="N189" i="13"/>
  <c r="M249" i="13"/>
  <c r="N249" i="13"/>
  <c r="L247" i="13"/>
  <c r="N247" i="13"/>
  <c r="L250" i="13"/>
  <c r="N250" i="13"/>
  <c r="M245" i="13"/>
  <c r="N245" i="13"/>
  <c r="L191" i="13"/>
  <c r="N191" i="13"/>
  <c r="L251" i="13"/>
  <c r="N251" i="13"/>
  <c r="L159" i="13"/>
  <c r="N159" i="13"/>
  <c r="M188" i="13"/>
  <c r="N188" i="13"/>
  <c r="L182" i="13"/>
  <c r="N182" i="13"/>
  <c r="L248" i="13"/>
  <c r="N248" i="13"/>
  <c r="M173" i="13"/>
  <c r="N173" i="13"/>
  <c r="M178" i="13"/>
  <c r="N178" i="13"/>
  <c r="L155" i="13"/>
  <c r="N155" i="13"/>
  <c r="L161" i="13"/>
  <c r="N161" i="13"/>
  <c r="L180" i="13"/>
  <c r="N180" i="13"/>
  <c r="M152" i="13"/>
  <c r="N152" i="13"/>
  <c r="L171" i="13"/>
  <c r="N171" i="13"/>
  <c r="M156" i="13"/>
  <c r="N156" i="13"/>
  <c r="M162" i="13"/>
  <c r="N162" i="13"/>
  <c r="L179" i="13"/>
  <c r="N179" i="13"/>
  <c r="M170" i="13"/>
  <c r="N170" i="13"/>
  <c r="M164" i="13"/>
  <c r="N164" i="13"/>
  <c r="L157" i="13"/>
  <c r="N157" i="13"/>
  <c r="L160" i="13"/>
  <c r="N160" i="13"/>
  <c r="L169" i="13"/>
  <c r="N169" i="13"/>
  <c r="L154" i="13"/>
  <c r="N154" i="13"/>
  <c r="L151" i="13"/>
  <c r="N151" i="13"/>
  <c r="L150" i="13"/>
  <c r="N150" i="13"/>
  <c r="M121" i="13"/>
  <c r="N121" i="13"/>
  <c r="M122" i="13"/>
  <c r="N122" i="13"/>
  <c r="M124" i="13"/>
  <c r="N124" i="13"/>
  <c r="M125" i="13"/>
  <c r="N125" i="13"/>
  <c r="M129" i="13"/>
  <c r="N129" i="13"/>
  <c r="M130" i="13"/>
  <c r="N130" i="13"/>
  <c r="M131" i="13"/>
  <c r="N131" i="13"/>
  <c r="M132" i="13"/>
  <c r="N132" i="13"/>
  <c r="M133" i="13"/>
  <c r="N133" i="13"/>
  <c r="M134" i="13"/>
  <c r="N134" i="13"/>
  <c r="M135" i="13"/>
  <c r="N135" i="13"/>
  <c r="M101" i="13"/>
  <c r="N101" i="13"/>
  <c r="M94" i="13"/>
  <c r="N94" i="13"/>
  <c r="M95" i="13"/>
  <c r="N95" i="13"/>
  <c r="M96" i="13"/>
  <c r="N96" i="13"/>
  <c r="M97" i="13"/>
  <c r="N97" i="13"/>
  <c r="M98" i="13"/>
  <c r="N98" i="13"/>
  <c r="M100" i="13"/>
  <c r="N100" i="13"/>
  <c r="M87" i="13"/>
  <c r="N87" i="13"/>
  <c r="M61" i="13"/>
  <c r="L61" i="13"/>
  <c r="I51" i="13"/>
  <c r="M56" i="13"/>
  <c r="N56" i="13"/>
  <c r="M55" i="13"/>
  <c r="N55" i="13"/>
  <c r="M54" i="13"/>
  <c r="L54" i="13"/>
  <c r="L60" i="13"/>
  <c r="N60" i="13"/>
  <c r="M59" i="13"/>
  <c r="L59" i="13"/>
  <c r="L48" i="13"/>
  <c r="M48" i="13"/>
  <c r="L47" i="13"/>
  <c r="N47" i="13"/>
  <c r="I21" i="13"/>
  <c r="M21" i="13"/>
  <c r="L17" i="13"/>
  <c r="M17" i="13"/>
  <c r="M18" i="13"/>
  <c r="L18" i="13"/>
  <c r="M19" i="13"/>
  <c r="L19" i="13"/>
  <c r="I20" i="13"/>
  <c r="M283" i="13"/>
  <c r="N283" i="13"/>
  <c r="O285" i="13"/>
  <c r="M267" i="13"/>
  <c r="N267" i="13"/>
  <c r="L264" i="13"/>
  <c r="N264" i="13"/>
  <c r="M268" i="13"/>
  <c r="N268" i="13"/>
  <c r="M148" i="13"/>
  <c r="N148" i="13"/>
  <c r="M113" i="13"/>
  <c r="N113" i="13"/>
  <c r="M81" i="13"/>
  <c r="N81" i="13"/>
  <c r="M83" i="13"/>
  <c r="N83" i="13"/>
  <c r="M84" i="13"/>
  <c r="N84" i="13"/>
  <c r="M85" i="13"/>
  <c r="N85" i="13"/>
  <c r="L311" i="13"/>
  <c r="N311" i="13"/>
  <c r="L294" i="13"/>
  <c r="N294" i="13"/>
  <c r="M306" i="13"/>
  <c r="N306" i="13"/>
  <c r="L309" i="13"/>
  <c r="N309" i="13"/>
  <c r="M312" i="13"/>
  <c r="N312" i="13"/>
  <c r="M314" i="13"/>
  <c r="N314" i="13"/>
  <c r="L315" i="13"/>
  <c r="N315" i="13"/>
  <c r="L295" i="13"/>
  <c r="N295" i="13"/>
  <c r="M298" i="13"/>
  <c r="N298" i="13"/>
  <c r="L300" i="13"/>
  <c r="N300" i="13"/>
  <c r="M296" i="13"/>
  <c r="N296" i="13"/>
  <c r="L302" i="13"/>
  <c r="N302" i="13"/>
  <c r="L308" i="13"/>
  <c r="N308" i="13"/>
  <c r="M303" i="13"/>
  <c r="N303" i="13"/>
  <c r="L299" i="13"/>
  <c r="N299" i="13"/>
  <c r="L305" i="13"/>
  <c r="N305" i="13"/>
  <c r="M297" i="13"/>
  <c r="N297" i="13"/>
  <c r="M66" i="13"/>
  <c r="L64" i="13"/>
  <c r="L66" i="13"/>
  <c r="M64" i="13"/>
  <c r="L288" i="13"/>
  <c r="N288" i="13"/>
  <c r="I147" i="13"/>
  <c r="L147" i="13"/>
  <c r="I144" i="13"/>
  <c r="M144" i="13"/>
  <c r="I143" i="13"/>
  <c r="I254" i="13"/>
  <c r="M254" i="13"/>
  <c r="I253" i="13"/>
  <c r="M253" i="13"/>
  <c r="I252" i="13"/>
  <c r="M252" i="13"/>
  <c r="I146" i="13"/>
  <c r="M146" i="13"/>
  <c r="I128" i="13"/>
  <c r="M128" i="13"/>
  <c r="I127" i="13"/>
  <c r="L127" i="13"/>
  <c r="I112" i="13"/>
  <c r="L112" i="13"/>
  <c r="I111" i="13"/>
  <c r="M111" i="13"/>
  <c r="I278" i="13"/>
  <c r="M278" i="13"/>
  <c r="I276" i="13"/>
  <c r="M276" i="13"/>
  <c r="I275" i="13"/>
  <c r="L275" i="13"/>
  <c r="I274" i="13"/>
  <c r="L274" i="13"/>
  <c r="I261" i="13"/>
  <c r="M261" i="13"/>
  <c r="I260" i="13"/>
  <c r="L260" i="13"/>
  <c r="I142" i="13"/>
  <c r="M142" i="13"/>
  <c r="I120" i="13"/>
  <c r="L120" i="13"/>
  <c r="I110" i="13"/>
  <c r="L110" i="13"/>
  <c r="I108" i="13"/>
  <c r="L108" i="13"/>
  <c r="I80" i="13"/>
  <c r="M80" i="13"/>
  <c r="I79" i="13"/>
  <c r="I35" i="13"/>
  <c r="I34" i="13"/>
  <c r="I33" i="13"/>
  <c r="O378" i="13"/>
  <c r="L73" i="13"/>
  <c r="M73" i="13"/>
  <c r="N106" i="13"/>
  <c r="M104" i="13"/>
  <c r="N104" i="13"/>
  <c r="N69" i="13"/>
  <c r="L72" i="13"/>
  <c r="M72" i="13"/>
  <c r="N71" i="13"/>
  <c r="N54" i="13"/>
  <c r="N61" i="13"/>
  <c r="L51" i="13"/>
  <c r="M51" i="13"/>
  <c r="N48" i="13"/>
  <c r="N59" i="13"/>
  <c r="L21" i="13"/>
  <c r="N21" i="13"/>
  <c r="N19" i="13"/>
  <c r="N18" i="13"/>
  <c r="L20" i="13"/>
  <c r="M20" i="13"/>
  <c r="N17" i="13"/>
  <c r="N66" i="13"/>
  <c r="L65" i="13"/>
  <c r="M65" i="13"/>
  <c r="N64" i="13"/>
  <c r="O290" i="13"/>
  <c r="M143" i="13"/>
  <c r="L253" i="13"/>
  <c r="N253" i="13"/>
  <c r="L254" i="13"/>
  <c r="N254" i="13"/>
  <c r="L252" i="13"/>
  <c r="N252" i="13"/>
  <c r="M147" i="13"/>
  <c r="N147" i="13"/>
  <c r="L146" i="13"/>
  <c r="N146" i="13"/>
  <c r="L144" i="13"/>
  <c r="N144" i="13"/>
  <c r="L143" i="13"/>
  <c r="L128" i="13"/>
  <c r="N128" i="13"/>
  <c r="M127" i="13"/>
  <c r="N127" i="13"/>
  <c r="L111" i="13"/>
  <c r="N111" i="13"/>
  <c r="M112" i="13"/>
  <c r="N112" i="13"/>
  <c r="L278" i="13"/>
  <c r="N278" i="13"/>
  <c r="M275" i="13"/>
  <c r="N275" i="13"/>
  <c r="M274" i="13"/>
  <c r="N274" i="13"/>
  <c r="L276" i="13"/>
  <c r="N276" i="13"/>
  <c r="M260" i="13"/>
  <c r="N260" i="13"/>
  <c r="L142" i="13"/>
  <c r="N142" i="13"/>
  <c r="L261" i="13"/>
  <c r="N261" i="13"/>
  <c r="M120" i="13"/>
  <c r="N120" i="13"/>
  <c r="M108" i="13"/>
  <c r="N108" i="13"/>
  <c r="M35" i="13"/>
  <c r="L34" i="13"/>
  <c r="M110" i="13"/>
  <c r="N110" i="13"/>
  <c r="M33" i="13"/>
  <c r="M79" i="13"/>
  <c r="L79" i="13"/>
  <c r="L80" i="13"/>
  <c r="N80" i="13"/>
  <c r="L35" i="13"/>
  <c r="M34" i="13"/>
  <c r="I32" i="13"/>
  <c r="L32" i="13"/>
  <c r="L33" i="13"/>
  <c r="N73" i="13"/>
  <c r="O116" i="13"/>
  <c r="N72" i="13"/>
  <c r="O280" i="13"/>
  <c r="O270" i="13"/>
  <c r="O137" i="13"/>
  <c r="N51" i="13"/>
  <c r="N20" i="13"/>
  <c r="N65" i="13"/>
  <c r="N143" i="13"/>
  <c r="O256" i="13"/>
  <c r="N33" i="13"/>
  <c r="N34" i="13"/>
  <c r="N79" i="13"/>
  <c r="O89" i="13"/>
  <c r="N35" i="13"/>
  <c r="M32" i="13"/>
  <c r="N32" i="13"/>
  <c r="I36" i="13"/>
  <c r="L36" i="13"/>
  <c r="M36" i="13"/>
  <c r="N36" i="13"/>
  <c r="I42" i="13"/>
  <c r="M42" i="13"/>
  <c r="I40" i="13"/>
  <c r="M40" i="13"/>
  <c r="I41" i="13"/>
  <c r="M41" i="13"/>
  <c r="I28" i="13"/>
  <c r="M28" i="13"/>
  <c r="I27" i="13"/>
  <c r="M27" i="13"/>
  <c r="I25" i="13"/>
  <c r="M25" i="13"/>
  <c r="I26" i="13"/>
  <c r="L25" i="13"/>
  <c r="N25" i="13"/>
  <c r="L27" i="13"/>
  <c r="N27" i="13"/>
  <c r="L28" i="13"/>
  <c r="N28" i="13"/>
  <c r="L40" i="13"/>
  <c r="N40" i="13"/>
  <c r="L41" i="13"/>
  <c r="N41" i="13"/>
  <c r="L42" i="13"/>
  <c r="N42" i="13"/>
  <c r="M26" i="13"/>
  <c r="L26" i="13"/>
  <c r="I29" i="13"/>
  <c r="M29" i="13"/>
  <c r="L29" i="13"/>
  <c r="N29" i="13"/>
  <c r="N26" i="13"/>
  <c r="A380" i="13"/>
  <c r="A379" i="13"/>
  <c r="I50" i="13"/>
  <c r="I49" i="13"/>
  <c r="I46" i="13"/>
  <c r="M46" i="13"/>
  <c r="L46" i="13"/>
  <c r="M49" i="13"/>
  <c r="L49" i="13"/>
  <c r="M50" i="13"/>
  <c r="L50" i="13"/>
  <c r="I12" i="13"/>
  <c r="I13" i="13"/>
  <c r="I11" i="13"/>
  <c r="I10" i="13"/>
  <c r="N49" i="13"/>
  <c r="N50" i="13"/>
  <c r="M10" i="13"/>
  <c r="L10" i="13"/>
  <c r="M11" i="13"/>
  <c r="L11" i="13"/>
  <c r="M13" i="13"/>
  <c r="L13" i="13"/>
  <c r="L12" i="13"/>
  <c r="M12" i="13"/>
  <c r="N46" i="13"/>
  <c r="I14" i="13"/>
  <c r="N11" i="13"/>
  <c r="N13" i="13"/>
  <c r="N12" i="13"/>
  <c r="N10" i="13"/>
  <c r="L14" i="13"/>
  <c r="M14" i="13"/>
  <c r="N14" i="13"/>
  <c r="N381" i="13"/>
  <c r="O75" i="13"/>
  <c r="O381" i="13"/>
  <c r="N382" i="13"/>
  <c r="N383" i="13"/>
  <c r="C5" i="13"/>
  <c r="A283" i="13"/>
  <c r="A288" i="13"/>
  <c r="A294" i="13"/>
  <c r="A295" i="13"/>
  <c r="A296" i="13"/>
  <c r="A297" i="13"/>
  <c r="A298" i="13"/>
  <c r="A299" i="13"/>
  <c r="A300" i="13"/>
  <c r="A302" i="13"/>
  <c r="A303" i="13"/>
  <c r="A305" i="13"/>
  <c r="A306" i="13"/>
  <c r="A308" i="13"/>
  <c r="A309" i="13"/>
  <c r="A311" i="13"/>
  <c r="A312" i="13"/>
  <c r="A314" i="13"/>
  <c r="A315" i="13"/>
  <c r="A317" i="13"/>
  <c r="A318" i="13"/>
  <c r="A320" i="13"/>
  <c r="A321" i="13"/>
  <c r="A322" i="13"/>
  <c r="A323" i="13"/>
  <c r="A324" i="13"/>
  <c r="A325" i="13"/>
  <c r="A327" i="13"/>
  <c r="A328" i="13"/>
  <c r="A329" i="13"/>
  <c r="A330" i="13"/>
  <c r="A331" i="13"/>
  <c r="A332" i="13"/>
  <c r="A333" i="13"/>
  <c r="A334" i="13"/>
  <c r="A335" i="13"/>
  <c r="A336" i="13"/>
  <c r="A337" i="13"/>
  <c r="A338" i="13"/>
  <c r="A339" i="13"/>
  <c r="A340" i="13"/>
  <c r="A341" i="13"/>
  <c r="A342" i="13"/>
  <c r="A343" i="13"/>
  <c r="A344" i="13"/>
  <c r="A345" i="13"/>
  <c r="A347" i="13"/>
  <c r="A348" i="13"/>
  <c r="A349" i="13"/>
  <c r="A350" i="13"/>
  <c r="A351" i="13"/>
  <c r="A352" i="13"/>
  <c r="A353" i="13"/>
  <c r="A355" i="13"/>
  <c r="A357" i="13"/>
  <c r="A358" i="13"/>
  <c r="A359" i="13"/>
  <c r="A360" i="13"/>
  <c r="A362" i="13"/>
  <c r="A364" i="13"/>
  <c r="A365" i="13"/>
  <c r="A366" i="13"/>
  <c r="A367" i="13"/>
  <c r="A368" i="13"/>
  <c r="A369" i="13"/>
  <c r="A370" i="13"/>
  <c r="A371" i="13"/>
  <c r="A373" i="13"/>
  <c r="A374" i="13"/>
  <c r="A375" i="13"/>
  <c r="A376" i="13"/>
</calcChain>
</file>

<file path=xl/sharedStrings.xml><?xml version="1.0" encoding="utf-8"?>
<sst xmlns="http://schemas.openxmlformats.org/spreadsheetml/2006/main" count="880" uniqueCount="319">
  <si>
    <t>UNIT</t>
  </si>
  <si>
    <t>DESCRIPTION</t>
  </si>
  <si>
    <t>TOTAL BASE BID</t>
  </si>
  <si>
    <t>WASTE</t>
  </si>
  <si>
    <t>QTY. W/ WASTE</t>
  </si>
  <si>
    <t>TOTAL COST</t>
  </si>
  <si>
    <t>SR #</t>
  </si>
  <si>
    <t>SUB TOTALS</t>
  </si>
  <si>
    <t>SUB - TOTAL</t>
  </si>
  <si>
    <t>Sheet
No.</t>
  </si>
  <si>
    <t>Detail
No.</t>
  </si>
  <si>
    <t>CSI
No.</t>
  </si>
  <si>
    <t>SF</t>
  </si>
  <si>
    <t>CY</t>
  </si>
  <si>
    <t>QTY.</t>
  </si>
  <si>
    <t>Formwork</t>
  </si>
  <si>
    <t>SFCA</t>
  </si>
  <si>
    <t>Backfill</t>
  </si>
  <si>
    <t xml:space="preserve">Excavation </t>
  </si>
  <si>
    <t>PROJECT</t>
  </si>
  <si>
    <t>ADDRESS</t>
  </si>
  <si>
    <t>Date of submission</t>
  </si>
  <si>
    <t>Date of plans</t>
  </si>
  <si>
    <t>03 00 00</t>
  </si>
  <si>
    <t>CONCRETE</t>
  </si>
  <si>
    <t>ISOLATED FOOTINGS</t>
  </si>
  <si>
    <t>Concrete</t>
  </si>
  <si>
    <t>SLAB ON GRADE</t>
  </si>
  <si>
    <t>6 Mil vapor retarder.</t>
  </si>
  <si>
    <t>6" Gravel Base</t>
  </si>
  <si>
    <t>OVERHEAD &amp; PROFIT</t>
  </si>
  <si>
    <t>CONCRETE SLAB</t>
  </si>
  <si>
    <t>GRAND TOTAL</t>
  </si>
  <si>
    <t>EA</t>
  </si>
  <si>
    <t>LBS</t>
  </si>
  <si>
    <t>STRIP FOOTING</t>
  </si>
  <si>
    <t>UNIT MAT</t>
  </si>
  <si>
    <t>UNIT LABOR</t>
  </si>
  <si>
    <t>TOTAL MAT</t>
  </si>
  <si>
    <t>TOTAL LAB</t>
  </si>
  <si>
    <t>Sub Total</t>
  </si>
  <si>
    <t>05 00 00</t>
  </si>
  <si>
    <t>METALS</t>
  </si>
  <si>
    <t>07 00 00</t>
  </si>
  <si>
    <t>THERMAL AND MOISTURE PROTECTION</t>
  </si>
  <si>
    <t>ROOFING</t>
  </si>
  <si>
    <t>08 00 00</t>
  </si>
  <si>
    <t>OPENING</t>
  </si>
  <si>
    <t>DOORS</t>
  </si>
  <si>
    <t>09 00 00</t>
  </si>
  <si>
    <t>FINISHES</t>
  </si>
  <si>
    <t>GYPSUM BOARD ASSEMBLIES</t>
  </si>
  <si>
    <t>Tile flooring.</t>
  </si>
  <si>
    <t>Wall tile.</t>
  </si>
  <si>
    <t xml:space="preserve">4'x8' GB Sheet </t>
  </si>
  <si>
    <t>500' Tape Roll</t>
  </si>
  <si>
    <t>Joint Compound</t>
  </si>
  <si>
    <t>1-1/4" Drywall Screws</t>
  </si>
  <si>
    <t>Sheets</t>
  </si>
  <si>
    <t>Rolls</t>
  </si>
  <si>
    <t>Gallons</t>
  </si>
  <si>
    <t>Pounds</t>
  </si>
  <si>
    <t>CEILING</t>
  </si>
  <si>
    <t>FLOORING</t>
  </si>
  <si>
    <t>PAINTING</t>
  </si>
  <si>
    <t>WALL TILE</t>
  </si>
  <si>
    <t>Paint GWB ceiling.</t>
  </si>
  <si>
    <t>Paint GWB walls.</t>
  </si>
  <si>
    <t>Paint door and frame.</t>
  </si>
  <si>
    <t>10 00 00</t>
  </si>
  <si>
    <t>SPECIALITIES</t>
  </si>
  <si>
    <t>Countertop.</t>
  </si>
  <si>
    <t>Backsplash.</t>
  </si>
  <si>
    <t>BATHROOM ACCESSORIES</t>
  </si>
  <si>
    <t>Soap dispenser.</t>
  </si>
  <si>
    <t>Toilet paper dispenser.</t>
  </si>
  <si>
    <t>22 00 00</t>
  </si>
  <si>
    <t>PLUMBING</t>
  </si>
  <si>
    <t>FIXTURES</t>
  </si>
  <si>
    <t>Lavatory.</t>
  </si>
  <si>
    <t>Water closet.</t>
  </si>
  <si>
    <t>Allowance for Plumbing piping.</t>
  </si>
  <si>
    <t>LS</t>
  </si>
  <si>
    <t>23 00 00</t>
  </si>
  <si>
    <t>26 00 00</t>
  </si>
  <si>
    <t>ELECTRICAL</t>
  </si>
  <si>
    <t>Assumed</t>
  </si>
  <si>
    <t>3#4 bars cont.</t>
  </si>
  <si>
    <t>FOUNDATION WALL</t>
  </si>
  <si>
    <t>ELEVATOR PIT SLAB</t>
  </si>
  <si>
    <t>31 00 00</t>
  </si>
  <si>
    <t>EXTERIOR IMPROVEMENTS</t>
  </si>
  <si>
    <t>Bike rack.</t>
  </si>
  <si>
    <t>Trench drain.</t>
  </si>
  <si>
    <t>FT</t>
  </si>
  <si>
    <t>PAVEMENTS</t>
  </si>
  <si>
    <t>LANDSCAPING</t>
  </si>
  <si>
    <t>SITE FURNISHING</t>
  </si>
  <si>
    <t>UTILITIES</t>
  </si>
  <si>
    <t>STAIRS &amp; RAILING</t>
  </si>
  <si>
    <t>EXTERIOR FINISHING MATERIAL</t>
  </si>
  <si>
    <t>WINDOW/ STOREFRONT/ GLAZING</t>
  </si>
  <si>
    <t>Base.</t>
  </si>
  <si>
    <t>Urinal.</t>
  </si>
  <si>
    <t>HEATING, VENTILATION AND AOR CONDITIONING</t>
  </si>
  <si>
    <t>Allowance for HVAC.</t>
  </si>
  <si>
    <t>Allowance for lighting/power/conduit/wiring.</t>
  </si>
  <si>
    <t>Mark: F1
Length: 9'-0"
Width: 9'-0"
Depth: 1'-0" 
Count: 20 EA</t>
  </si>
  <si>
    <t>S1.11</t>
  </si>
  <si>
    <t>6#4 Bars Each way top &amp; bottom</t>
  </si>
  <si>
    <t>9#4 Bars Each way top &amp; bottom</t>
  </si>
  <si>
    <t>Mark: F2
Length: 6'-0"
Width: 6'-0"
Depth: 1'-0" 
Count: 38 EA</t>
  </si>
  <si>
    <t>Mark: F3
Length: 126'-0"
Width: 1'-6"
Depth: 1'-0"</t>
  </si>
  <si>
    <t>2#4 bars cont.</t>
  </si>
  <si>
    <t>Mark: F4
Length: 1055'-0"
Width: 3'-0"
Depth: 1'-0"</t>
  </si>
  <si>
    <t>6/S5.10</t>
  </si>
  <si>
    <t>1' depth Concrete slab (608 sf)</t>
  </si>
  <si>
    <t>Excavation (10'D)</t>
  </si>
  <si>
    <t>Mark: 10" wall at elevator pit
Length: 100'-0"
Width: 0'-10"
Depth: 9'-3"</t>
  </si>
  <si>
    <t>#6 at 12" oc EW &amp; EF</t>
  </si>
  <si>
    <t>#6 at 12" oc EW, top and bottom</t>
  </si>
  <si>
    <t>2#5 cont. at edge.</t>
  </si>
  <si>
    <t xml:space="preserve">#5 at 12" oc EW </t>
  </si>
  <si>
    <t>MAT FOOTING</t>
  </si>
  <si>
    <t>5" slab on grade. (40735 sf)</t>
  </si>
  <si>
    <t>24" thk mat footing with 50 PCY reinforcement. (7660 sf)</t>
  </si>
  <si>
    <t>2/S5.10</t>
  </si>
  <si>
    <t>1/S5.10</t>
  </si>
  <si>
    <t>THICKENED SLAB</t>
  </si>
  <si>
    <t>Concrete (1'D x 2'9"W Assumed x 280'L)</t>
  </si>
  <si>
    <t>3#5 cont.</t>
  </si>
  <si>
    <t>#5 trans at 12" oc</t>
  </si>
  <si>
    <t>Excavation</t>
  </si>
  <si>
    <t>1200S200-68 floor joist @ 17'L.</t>
  </si>
  <si>
    <t>1200S200-68 floor joist @ 24'L.</t>
  </si>
  <si>
    <t>Guard rail with handrail.</t>
  </si>
  <si>
    <t>Guardrail.</t>
  </si>
  <si>
    <t>TRENCH DRAIN</t>
  </si>
  <si>
    <t>Metal stairs._x000D_
-20 treads @ 4'L._x000D_
-21 risers @ 4'L.</t>
  </si>
  <si>
    <t>JOIST</t>
  </si>
  <si>
    <t>S1.12</t>
  </si>
  <si>
    <t>A1.11</t>
  </si>
  <si>
    <t>MP-1: Ribbed metal panel (Pre-finish)_x000D_
-Color: Midnight Bronze.</t>
  </si>
  <si>
    <t>MP-1: Smooth metal panel (Pre-finish)_x000D_
-Color: Midnight Bronze.</t>
  </si>
  <si>
    <t>MP-2: Speciality panel (Fiber cement siding)._x000D_
-Color: Nichiha vintagewood cedar.</t>
  </si>
  <si>
    <t>MP-3: Light grey smooth metal panel (Pre-finished)_x000D_
-Color: Slate gray.</t>
  </si>
  <si>
    <t>A2.10</t>
  </si>
  <si>
    <t>Sheet metal gutter.</t>
  </si>
  <si>
    <t>METAL GUTTER</t>
  </si>
  <si>
    <t>Roof type 1:</t>
  </si>
  <si>
    <t>Metal panel roofing.</t>
  </si>
  <si>
    <t>Batt insulation. 2x</t>
  </si>
  <si>
    <t>Blocking.</t>
  </si>
  <si>
    <t>Secondary framing.</t>
  </si>
  <si>
    <t>Liner. (Veirfy specs)</t>
  </si>
  <si>
    <t>Roof type 2:</t>
  </si>
  <si>
    <t>5" insulated Metal panel roofing.</t>
  </si>
  <si>
    <t>Secondary roof framing.</t>
  </si>
  <si>
    <t>A1.13</t>
  </si>
  <si>
    <t>Dock high 9'x10' overhead door.</t>
  </si>
  <si>
    <t>12'x14' drive-in overhead door.</t>
  </si>
  <si>
    <t>9'x10' glass overhead door.</t>
  </si>
  <si>
    <t>9'x10' coiling door.</t>
  </si>
  <si>
    <t>Exterior metal door. (3'x7')</t>
  </si>
  <si>
    <t>Single interior door. (3'x7')</t>
  </si>
  <si>
    <t>Door with sidelight at offices. (9'W x 9'H Verify)</t>
  </si>
  <si>
    <t>Door with sidelight at offices. (12'W x 9'H Verify)</t>
  </si>
  <si>
    <t>Storefront door with sidelights. (9'6"W x 10'H)</t>
  </si>
  <si>
    <t>Interior window. (4'W x Verify height)</t>
  </si>
  <si>
    <t>Interior window. (8'W x Verify height)</t>
  </si>
  <si>
    <t>Storefront system.</t>
  </si>
  <si>
    <t>4'x8' Skylight.</t>
  </si>
  <si>
    <t>16'x16' Skylight.</t>
  </si>
  <si>
    <t>SKYLIGHTS</t>
  </si>
  <si>
    <t>Insulated metal panel exterior wall: (24'H)</t>
  </si>
  <si>
    <t>Wall liner.</t>
  </si>
  <si>
    <t>3" insulation.</t>
  </si>
  <si>
    <t>Metal building girts.</t>
  </si>
  <si>
    <t>Insulated metal panel exterior wall: (18'H)</t>
  </si>
  <si>
    <t>Insulated metal panel exterior wall: (32'H)</t>
  </si>
  <si>
    <t>Metal panel exterior wall-Batt insulation.(24'H)</t>
  </si>
  <si>
    <t>Batt insulation. X2</t>
  </si>
  <si>
    <t>Metal panel exterior wall-Batt insulation.(32'H)</t>
  </si>
  <si>
    <t>Batt insulation. x2</t>
  </si>
  <si>
    <t>Interior partition: (32'H)</t>
  </si>
  <si>
    <t>1 layer of 5/8" gypsum board each side.</t>
  </si>
  <si>
    <t>3-5/8" mettal studs.</t>
  </si>
  <si>
    <t>Batt insulation.</t>
  </si>
  <si>
    <t>Top and bottom runner.</t>
  </si>
  <si>
    <t>Interior partition: (10'H)</t>
  </si>
  <si>
    <t>6" mettal studs.</t>
  </si>
  <si>
    <t>Double chase wall: (10'H)</t>
  </si>
  <si>
    <t>3-5/8" mettal studs. x2</t>
  </si>
  <si>
    <t>Batt insulation.x2</t>
  </si>
  <si>
    <t>Top and bottom runner.x2</t>
  </si>
  <si>
    <t>Interior partition: (14'H)</t>
  </si>
  <si>
    <t>1 layer of 5/8" type X gypsum board each side.</t>
  </si>
  <si>
    <t>Interior partition: (12'H)</t>
  </si>
  <si>
    <t>Interior partition: (16'H)</t>
  </si>
  <si>
    <t>Flooring in offices and other common areas.</t>
  </si>
  <si>
    <t>Sealed concrete flooring. (Assumed)</t>
  </si>
  <si>
    <t>2x4 ACT ceiling.</t>
  </si>
  <si>
    <t>GWB ceiling.</t>
  </si>
  <si>
    <t>Open acoustical ceiling track.</t>
  </si>
  <si>
    <t>Wall mural. Painted. (BREAK SIDE)</t>
  </si>
  <si>
    <t>Internally Lit Breakside Medallion logo, roof mounted.</t>
  </si>
  <si>
    <t>Wall mural. Painted. (BREAK)</t>
  </si>
  <si>
    <t>Custom painted Mural-Inspired by WANDERLUSH BEER LOGO.</t>
  </si>
  <si>
    <t>Paint metal deck at areas open to structure.</t>
  </si>
  <si>
    <t>LOC</t>
  </si>
  <si>
    <t>A2.11</t>
  </si>
  <si>
    <t>Vanity cabinets. (2'W x 3'H)</t>
  </si>
  <si>
    <t>Toilet glass partition.</t>
  </si>
  <si>
    <t>Grab bar.</t>
  </si>
  <si>
    <t>Toilet paper holder.</t>
  </si>
  <si>
    <t>COUNTERTOP/ CASEWORK</t>
  </si>
  <si>
    <t>Remove gravel pad.</t>
  </si>
  <si>
    <t>Remove rock wall/boulder wall.</t>
  </si>
  <si>
    <t>Remove asphalt pavement.</t>
  </si>
  <si>
    <t>Remove concrete pad.</t>
  </si>
  <si>
    <t>Remove existing concrete wall.</t>
  </si>
  <si>
    <t>Remove trees.</t>
  </si>
  <si>
    <t>Tree protection fencing.</t>
  </si>
  <si>
    <t>32-10: Parallel curb ramp.</t>
  </si>
  <si>
    <t>32-11: Corner curb ramp.</t>
  </si>
  <si>
    <t>32-01: Asphalt pavement.</t>
  </si>
  <si>
    <t>4" asphalt surfacing.</t>
  </si>
  <si>
    <t>13" crushed rock base.</t>
  </si>
  <si>
    <t>32-02: Concrete sidewalk.</t>
  </si>
  <si>
    <t>4" concrete.</t>
  </si>
  <si>
    <t>2" crushed rock base.</t>
  </si>
  <si>
    <t>32-14: Concrete pavement.</t>
  </si>
  <si>
    <t>4" Concrete top layer (Verify thickness)</t>
  </si>
  <si>
    <t>6" crushed gravel base.</t>
  </si>
  <si>
    <t>32-26: Concrete crosswalk.</t>
  </si>
  <si>
    <t>4" reinforced concrete.</t>
  </si>
  <si>
    <t>32-20-24: Gravel pavement.</t>
  </si>
  <si>
    <t>16" crushed rock pavement.</t>
  </si>
  <si>
    <t>Geotextile fabric.</t>
  </si>
  <si>
    <t>32.03: Vertical curb._x000D_
-9"W x 1'4"H.</t>
  </si>
  <si>
    <t>32.04: Vertical curb and gutter._x000D_
-2'W x 1'4"H.</t>
  </si>
  <si>
    <t>32-09: Perpendicular curb at ramp.</t>
  </si>
  <si>
    <t>32-13: Flush curb._x000D_
-6"W x 10"H.</t>
  </si>
  <si>
    <t>32-22: Flush curb._x000D_
-6"W x 10"H.</t>
  </si>
  <si>
    <t>32-17: 2'W valley curb.</t>
  </si>
  <si>
    <t>32-05: Parking stall stripping.</t>
  </si>
  <si>
    <t>32-19: Directional arrows marking.</t>
  </si>
  <si>
    <t>32-06: Accessible parking stall._x000D_
-Provide concrete foundation.</t>
  </si>
  <si>
    <t>32-07: Accessible parking aisle sign._x000D_
-Provide concrete footing.</t>
  </si>
  <si>
    <t>32-08: Wheel stop. (6'W)</t>
  </si>
  <si>
    <t>32-15: 20' vision triangle.</t>
  </si>
  <si>
    <t>32-12: MSE block retaining wall.</t>
  </si>
  <si>
    <t>18" CIP concrete seat wall.</t>
  </si>
  <si>
    <t>32-16: 12" wide stop bar per specs.</t>
  </si>
  <si>
    <t>32-27: 6" pipe bollard. (3'H)_x000D_
-Bollard footing: 3'D.</t>
  </si>
  <si>
    <t>6" dia cat metal medallion with breakside logo.</t>
  </si>
  <si>
    <t>Wood seat wall topper.</t>
  </si>
  <si>
    <t>Landscape boulder.</t>
  </si>
  <si>
    <t>Stainless steel handrail.</t>
  </si>
  <si>
    <t>Stainless steel guardrail.</t>
  </si>
  <si>
    <t>Stainless steel guardrail with integrated drink rail.</t>
  </si>
  <si>
    <t>Trellis (Steel posts and framing with wood purlins).</t>
  </si>
  <si>
    <t>Drywell.</t>
  </si>
  <si>
    <t>Catch basin.</t>
  </si>
  <si>
    <t>12" storm.</t>
  </si>
  <si>
    <t>8" storm.</t>
  </si>
  <si>
    <t>6" storm.</t>
  </si>
  <si>
    <t>10" storm.</t>
  </si>
  <si>
    <t>18" storm.</t>
  </si>
  <si>
    <t>Catch basin sediment filter bag.</t>
  </si>
  <si>
    <t>Lawn.</t>
  </si>
  <si>
    <t>Enhanced and stormwater planting area.</t>
  </si>
  <si>
    <t>Pavers at plaza.</t>
  </si>
  <si>
    <t>Wood decking. (IPE or other hardwood)</t>
  </si>
  <si>
    <t>DEMOLITION</t>
  </si>
  <si>
    <t>CURB</t>
  </si>
  <si>
    <t>SEDIMENT AND ERROSION CONTROL</t>
  </si>
  <si>
    <t>L1.10 TO L2.18</t>
  </si>
  <si>
    <t>C1.15</t>
  </si>
  <si>
    <t>C1.31</t>
  </si>
  <si>
    <t>C1.43</t>
  </si>
  <si>
    <t>C1.01</t>
  </si>
  <si>
    <t>V1.11</t>
  </si>
  <si>
    <t>C1.11 TO C1.13</t>
  </si>
  <si>
    <t>C5.10 TO C5.12</t>
  </si>
  <si>
    <t>TRASH ENCLOSURE SLAB</t>
  </si>
  <si>
    <t>A5.15</t>
  </si>
  <si>
    <t>6" depth Concrete slab (250 sf)</t>
  </si>
  <si>
    <t>#3 @ 18" oc.</t>
  </si>
  <si>
    <t>6" high concrete curb.</t>
  </si>
  <si>
    <t>Metal roof at trash enclosure:</t>
  </si>
  <si>
    <t>Standing seam metal roof.</t>
  </si>
  <si>
    <t>Protection board.</t>
  </si>
  <si>
    <t>Metal deck.</t>
  </si>
  <si>
    <t>Flashing/drip edge.</t>
  </si>
  <si>
    <t>Metal panel siding at trash enclosure.</t>
  </si>
  <si>
    <t>Metal gate at trash enclosure. (8'H x 17'W)</t>
  </si>
  <si>
    <t>6" wheel stop, embed in concrete slab with reinforcement.</t>
  </si>
  <si>
    <t>BREAKSIDE GREESHAM</t>
  </si>
  <si>
    <t>Shrub</t>
  </si>
  <si>
    <t>Amerlanchier X grandflora_x000D_
Autum brilliance serviceberry</t>
  </si>
  <si>
    <t>Franxinus Pennsyl vanica _x000D_
Urbanite green ash_x000D_
along glisan drive</t>
  </si>
  <si>
    <t>Nyssa Sylvatica david odom_x000D_
Afterburner tupelo</t>
  </si>
  <si>
    <t>Ostrya verginiana_x000D_
American hophornbeam</t>
  </si>
  <si>
    <t>Pinus Nigra_x000D_
Austrian Pine</t>
  </si>
  <si>
    <t>Tilia corata corzam_x000D_
Corinthian littlelead linden_x000D_
Along access drive</t>
  </si>
  <si>
    <t>Ulmus propinquq _x000D_
Emerald sunshine ELM</t>
  </si>
  <si>
    <t>Zelkova serrata_x000D_
Village green selead zelkova_x000D_
Along glisan street</t>
  </si>
  <si>
    <t>SHRUBS</t>
  </si>
  <si>
    <t>TREES</t>
  </si>
  <si>
    <t>SITE LIGHTING</t>
  </si>
  <si>
    <t>Single pole light_x000D_
-Manu: Lithonia lightning_x000D_
-Catalog: Esx1 LED P2 40k R3 MVOLT_x000D_
UPA BLS DDBCD M2_x000D_
-Pole Height: 30FT</t>
  </si>
  <si>
    <t>Twin pole light_x000D_
-Manu: Lithonia lightning_x000D_
-Catalog: Esx1 LED P2 40k R3 MVOLT_x000D_
UPA BLS DDBCD M2_x000D_
-Pole Height: 30FT</t>
  </si>
  <si>
    <t>Cobra head pole light_x000D_
-Manu:American electric lighting_x000D_
-Catalog: AtBO P305 R4 4K_x000D_
-Pole Height: 30FT</t>
  </si>
  <si>
    <t>Cobra head pole light_x000D_
-Manu:American electric lighting_x000D_
-Catalog: AtBO P452  R5 4K_x000D_
-Pole Height: 30FT</t>
  </si>
  <si>
    <t>Schedule</t>
  </si>
  <si>
    <t>Floor drain at trash enclosure.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</si>
</sst>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_(&quot;$&quot;* #,##0_);_(&quot;$&quot;* \(#,##0\);_(&quot;$&quot;* &quot;-&quot;??_);_(@_)"/>
    <numFmt numFmtId="169" formatCode="_(&quot;$&quot;* #,##0_);_(&quot;$&quot;* \(#,##0\);_(&quot;$&quot;* &quot;-&quot;?_);_(@_)"/>
    <numFmt numFmtId="170" formatCode="0.0%"/>
    <numFmt numFmtId="171" formatCode="[$-F800]dddd\,\ mmmm\ dd\,\ yyyy"/>
    <numFmt numFmtId="172" formatCode="0.000"/>
    <numFmt numFmtId="173" formatCode="0.0"/>
    <numFmt numFmtId="174" formatCode="0.0000000"/>
    <numFmt numFmtId="175" formatCode="_(&quot;$&quot;* #,##0.00_);_(&quot;$&quot;* \(#,##0.00\);_(&quot;$&quot;* &quot;-&quot;?_);_(@_)"/>
    <numFmt numFmtId="176" formatCode="0\ &quot;CY&quot;"/>
  </numFmts>
  <fonts count="46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0"/>
      <name val="Arial"/>
      <family val="2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0"/>
      <name val="Arial"/>
      <family val="2"/>
    </font>
    <font>
      <b/>
      <sz val="12"/>
      <color theme="1"/>
      <name val="Verdana"/>
      <family val="2"/>
    </font>
    <font>
      <b/>
      <i/>
      <sz val="12"/>
      <color rgb="FF00206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color theme="0"/>
      <name val="Verdana"/>
      <family val="2"/>
    </font>
    <font>
      <i/>
      <sz val="12"/>
      <name val="Calibri"/>
      <family val="2"/>
      <scheme val="minor"/>
    </font>
    <font>
      <b/>
      <i/>
      <sz val="12"/>
      <name val="Verdana"/>
      <family val="2"/>
    </font>
    <font>
      <i/>
      <u/>
      <sz val="12"/>
      <color theme="10"/>
      <name val="Arial"/>
      <family val="2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Verdan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ED2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5" fillId="0" borderId="0"/>
    <xf numFmtId="0" fontId="5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0"/>
    <xf numFmtId="0" fontId="23" fillId="0" borderId="0"/>
    <xf numFmtId="0" fontId="5" fillId="0" borderId="0"/>
    <xf numFmtId="166" fontId="23" fillId="0" borderId="0" applyFont="0" applyFill="0" applyBorder="0" applyAlignment="0" applyProtection="0"/>
    <xf numFmtId="0" fontId="24" fillId="0" borderId="0"/>
    <xf numFmtId="166" fontId="5" fillId="0" borderId="0" applyFont="0" applyFill="0" applyBorder="0" applyAlignment="0" applyProtection="0"/>
    <xf numFmtId="0" fontId="5" fillId="0" borderId="0"/>
    <xf numFmtId="165" fontId="24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28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</cellStyleXfs>
  <cellXfs count="283">
    <xf numFmtId="0" fontId="0" fillId="0" borderId="0" xfId="0"/>
    <xf numFmtId="1" fontId="26" fillId="26" borderId="20" xfId="0" applyNumberFormat="1" applyFont="1" applyFill="1" applyBorder="1" applyAlignment="1">
      <alignment horizontal="left" vertical="top"/>
    </xf>
    <xf numFmtId="0" fontId="25" fillId="26" borderId="20" xfId="0" applyFont="1" applyFill="1" applyBorder="1" applyAlignment="1">
      <alignment horizontal="left" vertical="top" wrapText="1"/>
    </xf>
    <xf numFmtId="1" fontId="25" fillId="26" borderId="20" xfId="0" applyNumberFormat="1" applyFont="1" applyFill="1" applyBorder="1" applyAlignment="1">
      <alignment horizontal="center" vertical="top"/>
    </xf>
    <xf numFmtId="164" fontId="25" fillId="26" borderId="20" xfId="0" applyNumberFormat="1" applyFont="1" applyFill="1" applyBorder="1" applyAlignment="1">
      <alignment horizontal="right" vertical="top"/>
    </xf>
    <xf numFmtId="0" fontId="25" fillId="24" borderId="12" xfId="0" applyFont="1" applyFill="1" applyBorder="1" applyAlignment="1">
      <alignment vertical="top"/>
    </xf>
    <xf numFmtId="9" fontId="25" fillId="24" borderId="10" xfId="56" applyFont="1" applyFill="1" applyBorder="1" applyAlignment="1" applyProtection="1">
      <alignment horizontal="center" vertical="top"/>
    </xf>
    <xf numFmtId="168" fontId="26" fillId="24" borderId="24" xfId="0" applyNumberFormat="1" applyFont="1" applyFill="1" applyBorder="1" applyAlignment="1">
      <alignment horizontal="left" vertical="top"/>
    </xf>
    <xf numFmtId="168" fontId="26" fillId="26" borderId="22" xfId="0" applyNumberFormat="1" applyFont="1" applyFill="1" applyBorder="1" applyAlignment="1">
      <alignment horizontal="left" vertical="top"/>
    </xf>
    <xf numFmtId="164" fontId="25" fillId="24" borderId="10" xfId="45" applyNumberFormat="1" applyFont="1" applyFill="1" applyBorder="1" applyAlignment="1">
      <alignment horizontal="center" vertical="top"/>
    </xf>
    <xf numFmtId="1" fontId="25" fillId="0" borderId="36" xfId="45" applyNumberFormat="1" applyFont="1" applyBorder="1" applyAlignment="1">
      <alignment horizontal="center" vertical="top"/>
    </xf>
    <xf numFmtId="1" fontId="25" fillId="0" borderId="16" xfId="45" applyNumberFormat="1" applyFont="1" applyBorder="1" applyAlignment="1">
      <alignment horizontal="center" vertical="top"/>
    </xf>
    <xf numFmtId="0" fontId="25" fillId="24" borderId="10" xfId="45" applyFont="1" applyFill="1" applyBorder="1" applyAlignment="1">
      <alignment horizontal="center" vertical="top" wrapText="1"/>
    </xf>
    <xf numFmtId="0" fontId="25" fillId="24" borderId="18" xfId="45" applyFont="1" applyFill="1" applyBorder="1" applyAlignment="1">
      <alignment horizontal="center" vertical="top" wrapText="1"/>
    </xf>
    <xf numFmtId="2" fontId="26" fillId="0" borderId="22" xfId="45" applyNumberFormat="1" applyFont="1" applyBorder="1" applyAlignment="1">
      <alignment horizontal="left" vertical="top" wrapText="1"/>
    </xf>
    <xf numFmtId="9" fontId="25" fillId="0" borderId="10" xfId="45" applyNumberFormat="1" applyFont="1" applyBorder="1" applyAlignment="1">
      <alignment horizontal="center" vertical="top"/>
    </xf>
    <xf numFmtId="164" fontId="25" fillId="0" borderId="10" xfId="45" applyNumberFormat="1" applyFont="1" applyBorder="1" applyAlignment="1">
      <alignment horizontal="center" vertical="top"/>
    </xf>
    <xf numFmtId="165" fontId="25" fillId="0" borderId="10" xfId="55" applyFont="1" applyFill="1" applyBorder="1" applyAlignment="1">
      <alignment horizontal="center" vertical="top"/>
    </xf>
    <xf numFmtId="169" fontId="26" fillId="0" borderId="18" xfId="45" applyNumberFormat="1" applyFont="1" applyBorder="1" applyAlignment="1">
      <alignment horizontal="center" vertical="top"/>
    </xf>
    <xf numFmtId="169" fontId="26" fillId="24" borderId="35" xfId="45" applyNumberFormat="1" applyFont="1" applyFill="1" applyBorder="1" applyAlignment="1">
      <alignment horizontal="center" vertical="top"/>
    </xf>
    <xf numFmtId="0" fontId="25" fillId="0" borderId="0" xfId="45" applyFont="1" applyAlignment="1">
      <alignment vertical="top"/>
    </xf>
    <xf numFmtId="165" fontId="25" fillId="29" borderId="10" xfId="55" applyFont="1" applyFill="1" applyBorder="1" applyAlignment="1" applyProtection="1">
      <alignment horizontal="center" vertical="top"/>
    </xf>
    <xf numFmtId="168" fontId="25" fillId="0" borderId="18" xfId="45" applyNumberFormat="1" applyFont="1" applyBorder="1" applyAlignment="1">
      <alignment horizontal="center" vertical="top"/>
    </xf>
    <xf numFmtId="2" fontId="25" fillId="0" borderId="38" xfId="45" applyNumberFormat="1" applyFont="1" applyBorder="1" applyAlignment="1">
      <alignment horizontal="left" vertical="top" wrapText="1"/>
    </xf>
    <xf numFmtId="165" fontId="25" fillId="24" borderId="10" xfId="55" applyFont="1" applyFill="1" applyBorder="1" applyAlignment="1" applyProtection="1">
      <alignment horizontal="center" vertical="top"/>
    </xf>
    <xf numFmtId="0" fontId="25" fillId="0" borderId="0" xfId="0" applyFont="1" applyAlignment="1">
      <alignment vertical="top"/>
    </xf>
    <xf numFmtId="0" fontId="25" fillId="24" borderId="0" xfId="0" applyFont="1" applyFill="1" applyAlignment="1">
      <alignment vertical="top"/>
    </xf>
    <xf numFmtId="0" fontId="25" fillId="24" borderId="0" xfId="45" applyFont="1" applyFill="1" applyAlignment="1">
      <alignment vertical="top"/>
    </xf>
    <xf numFmtId="2" fontId="32" fillId="24" borderId="0" xfId="0" applyNumberFormat="1" applyFont="1" applyFill="1" applyAlignment="1">
      <alignment horizontal="center" vertical="top"/>
    </xf>
    <xf numFmtId="14" fontId="25" fillId="24" borderId="12" xfId="0" applyNumberFormat="1" applyFont="1" applyFill="1" applyBorder="1" applyAlignment="1">
      <alignment horizontal="left" vertical="top"/>
    </xf>
    <xf numFmtId="2" fontId="4" fillId="24" borderId="12" xfId="45" applyNumberFormat="1" applyFont="1" applyFill="1" applyBorder="1" applyAlignment="1">
      <alignment vertical="top"/>
    </xf>
    <xf numFmtId="0" fontId="25" fillId="24" borderId="12" xfId="45" applyFont="1" applyFill="1" applyBorder="1" applyAlignment="1">
      <alignment vertical="top"/>
    </xf>
    <xf numFmtId="2" fontId="26" fillId="24" borderId="12" xfId="45" applyNumberFormat="1" applyFont="1" applyFill="1" applyBorder="1" applyAlignment="1">
      <alignment horizontal="left" vertical="top"/>
    </xf>
    <xf numFmtId="14" fontId="33" fillId="24" borderId="23" xfId="45" applyNumberFormat="1" applyFont="1" applyFill="1" applyBorder="1" applyAlignment="1">
      <alignment horizontal="left" vertical="top"/>
    </xf>
    <xf numFmtId="14" fontId="25" fillId="24" borderId="0" xfId="0" applyNumberFormat="1" applyFont="1" applyFill="1" applyAlignment="1">
      <alignment horizontal="left" vertical="top"/>
    </xf>
    <xf numFmtId="2" fontId="4" fillId="24" borderId="0" xfId="45" applyNumberFormat="1" applyFont="1" applyFill="1" applyAlignment="1">
      <alignment vertical="top"/>
    </xf>
    <xf numFmtId="2" fontId="26" fillId="24" borderId="0" xfId="45" applyNumberFormat="1" applyFont="1" applyFill="1" applyAlignment="1">
      <alignment horizontal="left" vertical="top"/>
    </xf>
    <xf numFmtId="14" fontId="33" fillId="24" borderId="24" xfId="45" applyNumberFormat="1" applyFont="1" applyFill="1" applyBorder="1" applyAlignment="1">
      <alignment horizontal="left" vertical="top"/>
    </xf>
    <xf numFmtId="167" fontId="27" fillId="28" borderId="0" xfId="0" applyNumberFormat="1" applyFont="1" applyFill="1" applyAlignment="1">
      <alignment horizontal="center" vertical="top" wrapText="1"/>
    </xf>
    <xf numFmtId="0" fontId="29" fillId="24" borderId="0" xfId="0" applyFont="1" applyFill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26" fillId="27" borderId="29" xfId="45" applyFont="1" applyFill="1" applyBorder="1" applyAlignment="1">
      <alignment vertical="top"/>
    </xf>
    <xf numFmtId="0" fontId="26" fillId="27" borderId="19" xfId="45" applyFont="1" applyFill="1" applyBorder="1" applyAlignment="1">
      <alignment horizontal="center" vertical="center"/>
    </xf>
    <xf numFmtId="0" fontId="26" fillId="27" borderId="19" xfId="45" applyFont="1" applyFill="1" applyBorder="1" applyAlignment="1">
      <alignment horizontal="left" vertical="top"/>
    </xf>
    <xf numFmtId="1" fontId="25" fillId="27" borderId="19" xfId="45" applyNumberFormat="1" applyFont="1" applyFill="1" applyBorder="1" applyAlignment="1">
      <alignment horizontal="center" vertical="top"/>
    </xf>
    <xf numFmtId="0" fontId="25" fillId="27" borderId="19" xfId="45" applyFont="1" applyFill="1" applyBorder="1" applyAlignment="1">
      <alignment vertical="top"/>
    </xf>
    <xf numFmtId="165" fontId="25" fillId="27" borderId="19" xfId="55" applyFont="1" applyFill="1" applyBorder="1" applyAlignment="1">
      <alignment vertical="top"/>
    </xf>
    <xf numFmtId="0" fontId="25" fillId="27" borderId="30" xfId="45" applyFont="1" applyFill="1" applyBorder="1" applyAlignment="1">
      <alignment vertical="top"/>
    </xf>
    <xf numFmtId="169" fontId="26" fillId="24" borderId="24" xfId="45" applyNumberFormat="1" applyFont="1" applyFill="1" applyBorder="1" applyAlignment="1">
      <alignment horizontal="center" vertical="top"/>
    </xf>
    <xf numFmtId="0" fontId="30" fillId="25" borderId="0" xfId="45" applyFont="1" applyFill="1" applyAlignment="1">
      <alignment vertical="top"/>
    </xf>
    <xf numFmtId="0" fontId="25" fillId="24" borderId="16" xfId="45" applyFont="1" applyFill="1" applyBorder="1" applyAlignment="1">
      <alignment horizontal="center" vertical="top" wrapText="1"/>
    </xf>
    <xf numFmtId="0" fontId="25" fillId="24" borderId="0" xfId="45" applyFont="1" applyFill="1" applyAlignment="1">
      <alignment horizontal="center" vertical="top" wrapText="1"/>
    </xf>
    <xf numFmtId="9" fontId="25" fillId="0" borderId="31" xfId="45" applyNumberFormat="1" applyFont="1" applyBorder="1" applyAlignment="1">
      <alignment horizontal="center" vertical="top"/>
    </xf>
    <xf numFmtId="164" fontId="25" fillId="0" borderId="32" xfId="45" applyNumberFormat="1" applyFont="1" applyBorder="1" applyAlignment="1">
      <alignment horizontal="center" vertical="top"/>
    </xf>
    <xf numFmtId="165" fontId="25" fillId="0" borderId="32" xfId="55" applyFont="1" applyFill="1" applyBorder="1" applyAlignment="1">
      <alignment horizontal="center" vertical="top"/>
    </xf>
    <xf numFmtId="169" fontId="26" fillId="0" borderId="0" xfId="45" applyNumberFormat="1" applyFont="1" applyAlignment="1">
      <alignment horizontal="center" vertical="top"/>
    </xf>
    <xf numFmtId="172" fontId="25" fillId="0" borderId="36" xfId="45" applyNumberFormat="1" applyFont="1" applyBorder="1" applyAlignment="1">
      <alignment horizontal="center" vertical="top"/>
    </xf>
    <xf numFmtId="2" fontId="25" fillId="0" borderId="39" xfId="45" applyNumberFormat="1" applyFont="1" applyBorder="1" applyAlignment="1">
      <alignment horizontal="left" vertical="top" wrapText="1"/>
    </xf>
    <xf numFmtId="173" fontId="25" fillId="0" borderId="16" xfId="45" applyNumberFormat="1" applyFont="1" applyBorder="1" applyAlignment="1">
      <alignment horizontal="center" vertical="top"/>
    </xf>
    <xf numFmtId="174" fontId="25" fillId="0" borderId="0" xfId="45" applyNumberFormat="1" applyFont="1" applyAlignment="1">
      <alignment vertical="top"/>
    </xf>
    <xf numFmtId="9" fontId="25" fillId="24" borderId="10" xfId="45" applyNumberFormat="1" applyFont="1" applyFill="1" applyBorder="1" applyAlignment="1">
      <alignment horizontal="center" vertical="top"/>
    </xf>
    <xf numFmtId="175" fontId="26" fillId="24" borderId="35" xfId="45" applyNumberFormat="1" applyFont="1" applyFill="1" applyBorder="1" applyAlignment="1">
      <alignment horizontal="center" vertical="top"/>
    </xf>
    <xf numFmtId="2" fontId="33" fillId="0" borderId="33" xfId="45" applyNumberFormat="1" applyFont="1" applyBorder="1" applyAlignment="1">
      <alignment horizontal="left" vertical="top" wrapText="1"/>
    </xf>
    <xf numFmtId="1" fontId="25" fillId="0" borderId="32" xfId="45" applyNumberFormat="1" applyFont="1" applyBorder="1" applyAlignment="1">
      <alignment horizontal="center" vertical="top"/>
    </xf>
    <xf numFmtId="1" fontId="25" fillId="0" borderId="10" xfId="45" applyNumberFormat="1" applyFont="1" applyBorder="1" applyAlignment="1">
      <alignment horizontal="center" vertical="top"/>
    </xf>
    <xf numFmtId="0" fontId="39" fillId="24" borderId="10" xfId="45" applyFont="1" applyFill="1" applyBorder="1" applyAlignment="1">
      <alignment horizontal="center" vertical="top" wrapText="1"/>
    </xf>
    <xf numFmtId="2" fontId="25" fillId="0" borderId="33" xfId="45" applyNumberFormat="1" applyFont="1" applyBorder="1" applyAlignment="1">
      <alignment horizontal="left" vertical="top" wrapText="1"/>
    </xf>
    <xf numFmtId="0" fontId="25" fillId="24" borderId="34" xfId="45" applyFont="1" applyFill="1" applyBorder="1" applyAlignment="1">
      <alignment horizontal="center" vertical="top" wrapText="1"/>
    </xf>
    <xf numFmtId="0" fontId="25" fillId="0" borderId="34" xfId="45" applyFont="1" applyBorder="1" applyAlignment="1">
      <alignment horizontal="center" vertical="top" wrapText="1"/>
    </xf>
    <xf numFmtId="2" fontId="26" fillId="0" borderId="10" xfId="45" applyNumberFormat="1" applyFont="1" applyBorder="1" applyAlignment="1">
      <alignment horizontal="center" vertical="top" wrapText="1"/>
    </xf>
    <xf numFmtId="1" fontId="25" fillId="24" borderId="16" xfId="45" applyNumberFormat="1" applyFont="1" applyFill="1" applyBorder="1" applyAlignment="1">
      <alignment horizontal="right" vertical="top"/>
    </xf>
    <xf numFmtId="2" fontId="26" fillId="0" borderId="10" xfId="45" applyNumberFormat="1" applyFont="1" applyBorder="1" applyAlignment="1">
      <alignment horizontal="right" vertical="top" wrapText="1"/>
    </xf>
    <xf numFmtId="9" fontId="25" fillId="0" borderId="16" xfId="45" applyNumberFormat="1" applyFont="1" applyBorder="1" applyAlignment="1">
      <alignment horizontal="center" vertical="top"/>
    </xf>
    <xf numFmtId="175" fontId="25" fillId="0" borderId="10" xfId="45" applyNumberFormat="1" applyFont="1" applyBorder="1" applyAlignment="1">
      <alignment horizontal="center" vertical="top"/>
    </xf>
    <xf numFmtId="168" fontId="26" fillId="0" borderId="40" xfId="55" applyNumberFormat="1" applyFont="1" applyFill="1" applyBorder="1" applyAlignment="1">
      <alignment horizontal="center" vertical="top"/>
    </xf>
    <xf numFmtId="168" fontId="26" fillId="0" borderId="22" xfId="55" applyNumberFormat="1" applyFont="1" applyFill="1" applyBorder="1" applyAlignment="1">
      <alignment horizontal="center" vertical="top"/>
    </xf>
    <xf numFmtId="165" fontId="25" fillId="0" borderId="0" xfId="45" applyNumberFormat="1" applyFont="1" applyAlignment="1">
      <alignment vertical="top"/>
    </xf>
    <xf numFmtId="2" fontId="40" fillId="0" borderId="10" xfId="45" applyNumberFormat="1" applyFont="1" applyBorder="1" applyAlignment="1">
      <alignment horizontal="left" vertical="top" wrapText="1"/>
    </xf>
    <xf numFmtId="168" fontId="25" fillId="0" borderId="40" xfId="55" applyNumberFormat="1" applyFont="1" applyFill="1" applyBorder="1" applyAlignment="1">
      <alignment horizontal="center" vertical="top"/>
    </xf>
    <xf numFmtId="0" fontId="25" fillId="0" borderId="24" xfId="45" applyFont="1" applyBorder="1" applyAlignment="1">
      <alignment vertical="top"/>
    </xf>
    <xf numFmtId="1" fontId="26" fillId="0" borderId="17" xfId="45" applyNumberFormat="1" applyFont="1" applyBorder="1" applyAlignment="1">
      <alignment horizontal="left" vertical="top"/>
    </xf>
    <xf numFmtId="0" fontId="25" fillId="0" borderId="17" xfId="45" applyFont="1" applyBorder="1" applyAlignment="1">
      <alignment horizontal="left" vertical="top" wrapText="1"/>
    </xf>
    <xf numFmtId="1" fontId="25" fillId="0" borderId="17" xfId="45" applyNumberFormat="1" applyFont="1" applyBorder="1" applyAlignment="1">
      <alignment horizontal="center" vertical="top"/>
    </xf>
    <xf numFmtId="164" fontId="25" fillId="0" borderId="17" xfId="45" applyNumberFormat="1" applyFont="1" applyBorder="1" applyAlignment="1">
      <alignment horizontal="right" vertical="top"/>
    </xf>
    <xf numFmtId="165" fontId="25" fillId="0" borderId="17" xfId="55" applyFont="1" applyFill="1" applyBorder="1" applyAlignment="1">
      <alignment horizontal="center" vertical="top"/>
    </xf>
    <xf numFmtId="167" fontId="25" fillId="0" borderId="41" xfId="45" applyNumberFormat="1" applyFont="1" applyBorder="1" applyAlignment="1">
      <alignment vertical="top"/>
    </xf>
    <xf numFmtId="0" fontId="30" fillId="24" borderId="24" xfId="45" applyFont="1" applyFill="1" applyBorder="1" applyAlignment="1">
      <alignment vertical="top"/>
    </xf>
    <xf numFmtId="165" fontId="25" fillId="26" borderId="27" xfId="55" applyFont="1" applyFill="1" applyBorder="1" applyAlignment="1">
      <alignment horizontal="center" vertical="top"/>
    </xf>
    <xf numFmtId="168" fontId="26" fillId="24" borderId="30" xfId="0" applyNumberFormat="1" applyFont="1" applyFill="1" applyBorder="1" applyAlignment="1">
      <alignment horizontal="center" vertical="top"/>
    </xf>
    <xf numFmtId="1" fontId="26" fillId="0" borderId="17" xfId="0" applyNumberFormat="1" applyFont="1" applyBorder="1" applyAlignment="1">
      <alignment horizontal="left" vertical="top"/>
    </xf>
    <xf numFmtId="0" fontId="25" fillId="0" borderId="17" xfId="0" applyFont="1" applyBorder="1" applyAlignment="1">
      <alignment horizontal="left" vertical="top" wrapText="1"/>
    </xf>
    <xf numFmtId="1" fontId="25" fillId="0" borderId="17" xfId="0" applyNumberFormat="1" applyFont="1" applyBorder="1" applyAlignment="1">
      <alignment horizontal="center" vertical="top"/>
    </xf>
    <xf numFmtId="164" fontId="25" fillId="0" borderId="17" xfId="0" applyNumberFormat="1" applyFont="1" applyBorder="1" applyAlignment="1">
      <alignment horizontal="right" vertical="top"/>
    </xf>
    <xf numFmtId="170" fontId="25" fillId="30" borderId="27" xfId="56" applyNumberFormat="1" applyFont="1" applyFill="1" applyBorder="1" applyAlignment="1">
      <alignment horizontal="center" vertical="top"/>
    </xf>
    <xf numFmtId="168" fontId="26" fillId="0" borderId="22" xfId="0" applyNumberFormat="1" applyFont="1" applyBorder="1" applyAlignment="1">
      <alignment horizontal="left" vertical="top"/>
    </xf>
    <xf numFmtId="0" fontId="29" fillId="31" borderId="19" xfId="0" applyFont="1" applyFill="1" applyBorder="1" applyAlignment="1">
      <alignment horizontal="center" vertical="top"/>
    </xf>
    <xf numFmtId="2" fontId="29" fillId="31" borderId="19" xfId="0" applyNumberFormat="1" applyFont="1" applyFill="1" applyBorder="1" applyAlignment="1">
      <alignment horizontal="left" vertical="top" wrapText="1"/>
    </xf>
    <xf numFmtId="1" fontId="29" fillId="31" borderId="19" xfId="0" applyNumberFormat="1" applyFont="1" applyFill="1" applyBorder="1" applyAlignment="1">
      <alignment horizontal="center" vertical="top"/>
    </xf>
    <xf numFmtId="2" fontId="29" fillId="31" borderId="19" xfId="0" applyNumberFormat="1" applyFont="1" applyFill="1" applyBorder="1" applyAlignment="1">
      <alignment horizontal="center" vertical="top" wrapText="1"/>
    </xf>
    <xf numFmtId="2" fontId="31" fillId="31" borderId="19" xfId="54" applyNumberFormat="1" applyFont="1" applyFill="1" applyBorder="1" applyAlignment="1">
      <alignment horizontal="left" vertical="top"/>
    </xf>
    <xf numFmtId="165" fontId="29" fillId="31" borderId="19" xfId="55" applyFont="1" applyFill="1" applyBorder="1" applyAlignment="1">
      <alignment horizontal="center" vertical="top"/>
    </xf>
    <xf numFmtId="168" fontId="27" fillId="31" borderId="42" xfId="0" applyNumberFormat="1" applyFont="1" applyFill="1" applyBorder="1" applyAlignment="1">
      <alignment horizontal="left" vertical="top"/>
    </xf>
    <xf numFmtId="168" fontId="27" fillId="31" borderId="37" xfId="0" applyNumberFormat="1" applyFont="1" applyFill="1" applyBorder="1" applyAlignment="1">
      <alignment horizontal="left" vertical="top"/>
    </xf>
    <xf numFmtId="0" fontId="25" fillId="0" borderId="15" xfId="45" applyFont="1" applyBorder="1" applyAlignment="1">
      <alignment vertical="top"/>
    </xf>
    <xf numFmtId="0" fontId="25" fillId="0" borderId="25" xfId="45" applyFont="1" applyBorder="1" applyAlignment="1">
      <alignment vertical="top"/>
    </xf>
    <xf numFmtId="0" fontId="25" fillId="0" borderId="0" xfId="45" applyFont="1" applyAlignment="1">
      <alignment horizontal="center" vertical="top"/>
    </xf>
    <xf numFmtId="2" fontId="25" fillId="0" borderId="0" xfId="45" applyNumberFormat="1" applyFont="1" applyAlignment="1">
      <alignment horizontal="left" vertical="top" wrapText="1"/>
    </xf>
    <xf numFmtId="1" fontId="25" fillId="0" borderId="0" xfId="45" applyNumberFormat="1" applyFont="1" applyAlignment="1">
      <alignment horizontal="center" vertical="top" wrapText="1"/>
    </xf>
    <xf numFmtId="2" fontId="25" fillId="0" borderId="0" xfId="45" applyNumberFormat="1" applyFont="1" applyAlignment="1">
      <alignment horizontal="center" vertical="top" wrapText="1"/>
    </xf>
    <xf numFmtId="165" fontId="25" fillId="24" borderId="0" xfId="55" applyFont="1" applyFill="1" applyBorder="1" applyAlignment="1">
      <alignment horizontal="center" vertical="top"/>
    </xf>
    <xf numFmtId="167" fontId="25" fillId="0" borderId="0" xfId="45" applyNumberFormat="1" applyFont="1" applyAlignment="1">
      <alignment vertical="top"/>
    </xf>
    <xf numFmtId="165" fontId="25" fillId="0" borderId="0" xfId="55" applyFont="1" applyBorder="1" applyAlignment="1">
      <alignment horizontal="center" vertical="top"/>
    </xf>
    <xf numFmtId="165" fontId="25" fillId="0" borderId="10" xfId="55" applyFont="1" applyFill="1" applyBorder="1" applyAlignment="1" applyProtection="1">
      <alignment horizontal="center" vertical="top"/>
    </xf>
    <xf numFmtId="0" fontId="42" fillId="24" borderId="0" xfId="45" applyFont="1" applyFill="1" applyAlignment="1">
      <alignment vertical="top"/>
    </xf>
    <xf numFmtId="0" fontId="25" fillId="0" borderId="26" xfId="45" applyFont="1" applyBorder="1" applyAlignment="1">
      <alignment horizontal="center" vertical="center"/>
    </xf>
    <xf numFmtId="0" fontId="25" fillId="24" borderId="10" xfId="45" applyFont="1" applyFill="1" applyBorder="1" applyAlignment="1">
      <alignment horizontal="center" vertical="center"/>
    </xf>
    <xf numFmtId="0" fontId="25" fillId="24" borderId="18" xfId="45" applyFont="1" applyFill="1" applyBorder="1" applyAlignment="1">
      <alignment horizontal="center" vertical="center" wrapText="1"/>
    </xf>
    <xf numFmtId="0" fontId="25" fillId="24" borderId="10" xfId="45" applyFont="1" applyFill="1" applyBorder="1" applyAlignment="1">
      <alignment horizontal="center" vertical="center" wrapText="1"/>
    </xf>
    <xf numFmtId="164" fontId="25" fillId="0" borderId="10" xfId="45" applyNumberFormat="1" applyFont="1" applyBorder="1" applyAlignment="1">
      <alignment horizontal="center" vertical="center"/>
    </xf>
    <xf numFmtId="0" fontId="25" fillId="0" borderId="10" xfId="45" applyFont="1" applyFill="1" applyBorder="1" applyAlignment="1">
      <alignment horizontal="center" vertical="center"/>
    </xf>
    <xf numFmtId="169" fontId="26" fillId="24" borderId="35" xfId="45" applyNumberFormat="1" applyFont="1" applyFill="1" applyBorder="1" applyAlignment="1">
      <alignment horizontal="center" vertical="center"/>
    </xf>
    <xf numFmtId="0" fontId="25" fillId="0" borderId="0" xfId="45" applyFont="1" applyAlignment="1">
      <alignment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45" applyFont="1" applyFill="1" applyBorder="1" applyAlignment="1">
      <alignment horizontal="center" vertical="center"/>
    </xf>
    <xf numFmtId="0" fontId="25" fillId="24" borderId="16" xfId="45" applyFont="1" applyFill="1" applyBorder="1" applyAlignment="1">
      <alignment horizontal="center" vertical="center"/>
    </xf>
    <xf numFmtId="1" fontId="26" fillId="0" borderId="17" xfId="45" applyNumberFormat="1" applyFont="1" applyBorder="1" applyAlignment="1">
      <alignment horizontal="left" vertical="center"/>
    </xf>
    <xf numFmtId="1" fontId="26" fillId="26" borderId="28" xfId="0" applyNumberFormat="1" applyFont="1" applyFill="1" applyBorder="1" applyAlignment="1">
      <alignment horizontal="left" vertical="center"/>
    </xf>
    <xf numFmtId="1" fontId="26" fillId="0" borderId="17" xfId="0" applyNumberFormat="1" applyFont="1" applyBorder="1" applyAlignment="1">
      <alignment horizontal="left" vertical="center"/>
    </xf>
    <xf numFmtId="0" fontId="29" fillId="31" borderId="19" xfId="0" applyFont="1" applyFill="1" applyBorder="1" applyAlignment="1">
      <alignment horizontal="center" vertical="center"/>
    </xf>
    <xf numFmtId="0" fontId="25" fillId="0" borderId="15" xfId="45" applyFont="1" applyBorder="1" applyAlignment="1">
      <alignment vertical="center"/>
    </xf>
    <xf numFmtId="0" fontId="25" fillId="0" borderId="0" xfId="45" applyFont="1" applyAlignment="1">
      <alignment horizontal="center" vertical="center"/>
    </xf>
    <xf numFmtId="176" fontId="26" fillId="24" borderId="34" xfId="45" applyNumberFormat="1" applyFont="1" applyFill="1" applyBorder="1" applyAlignment="1">
      <alignment horizontal="center" vertical="center" wrapText="1"/>
    </xf>
    <xf numFmtId="9" fontId="25" fillId="24" borderId="10" xfId="56" applyFont="1" applyFill="1" applyBorder="1" applyAlignment="1" applyProtection="1">
      <alignment horizontal="center" vertical="center"/>
    </xf>
    <xf numFmtId="166" fontId="25" fillId="0" borderId="0" xfId="45" applyNumberFormat="1" applyFont="1" applyAlignment="1">
      <alignment vertical="center"/>
    </xf>
    <xf numFmtId="2" fontId="25" fillId="0" borderId="0" xfId="45" applyNumberFormat="1" applyFont="1" applyBorder="1" applyAlignment="1">
      <alignment horizontal="left" vertical="center" wrapText="1"/>
    </xf>
    <xf numFmtId="1" fontId="25" fillId="0" borderId="10" xfId="45" applyNumberFormat="1" applyFont="1" applyBorder="1" applyAlignment="1">
      <alignment horizontal="center" vertical="center"/>
    </xf>
    <xf numFmtId="0" fontId="30" fillId="0" borderId="0" xfId="45" applyFont="1" applyFill="1" applyAlignment="1">
      <alignment vertical="top"/>
    </xf>
    <xf numFmtId="0" fontId="30" fillId="0" borderId="10" xfId="0" applyFont="1" applyBorder="1" applyAlignment="1">
      <alignment wrapText="1"/>
    </xf>
    <xf numFmtId="9" fontId="25" fillId="0" borderId="18" xfId="45" applyNumberFormat="1" applyFont="1" applyBorder="1" applyAlignment="1">
      <alignment horizontal="right" vertical="top"/>
    </xf>
    <xf numFmtId="173" fontId="25" fillId="0" borderId="44" xfId="45" applyNumberFormat="1" applyFont="1" applyBorder="1" applyAlignment="1">
      <alignment horizontal="center" vertical="top"/>
    </xf>
    <xf numFmtId="0" fontId="36" fillId="24" borderId="18" xfId="45" applyFont="1" applyFill="1" applyBorder="1" applyAlignment="1">
      <alignment horizontal="center" vertical="center" wrapText="1"/>
    </xf>
    <xf numFmtId="2" fontId="29" fillId="30" borderId="12" xfId="0" applyNumberFormat="1" applyFont="1" applyFill="1" applyBorder="1" applyAlignment="1">
      <alignment horizontal="center" vertical="top"/>
    </xf>
    <xf numFmtId="165" fontId="29" fillId="30" borderId="12" xfId="55" applyFont="1" applyFill="1" applyBorder="1" applyAlignment="1">
      <alignment horizontal="center" vertical="top"/>
    </xf>
    <xf numFmtId="2" fontId="35" fillId="30" borderId="23" xfId="0" applyNumberFormat="1" applyFont="1" applyFill="1" applyBorder="1" applyAlignment="1">
      <alignment horizontal="right" vertical="top"/>
    </xf>
    <xf numFmtId="2" fontId="29" fillId="30" borderId="0" xfId="0" applyNumberFormat="1" applyFont="1" applyFill="1" applyAlignment="1">
      <alignment horizontal="center" vertical="top"/>
    </xf>
    <xf numFmtId="165" fontId="29" fillId="30" borderId="0" xfId="55" applyFont="1" applyFill="1" applyBorder="1" applyAlignment="1">
      <alignment horizontal="center" vertical="top"/>
    </xf>
    <xf numFmtId="2" fontId="35" fillId="30" borderId="24" xfId="0" applyNumberFormat="1" applyFont="1" applyFill="1" applyBorder="1" applyAlignment="1">
      <alignment horizontal="right" vertical="top"/>
    </xf>
    <xf numFmtId="168" fontId="26" fillId="24" borderId="0" xfId="55" applyNumberFormat="1" applyFont="1" applyFill="1" applyBorder="1" applyAlignment="1" applyProtection="1">
      <alignment horizontal="left" vertical="top"/>
    </xf>
    <xf numFmtId="171" fontId="36" fillId="24" borderId="0" xfId="45" applyNumberFormat="1" applyFont="1" applyFill="1" applyBorder="1" applyAlignment="1">
      <alignment vertical="top"/>
    </xf>
    <xf numFmtId="0" fontId="25" fillId="24" borderId="0" xfId="45" applyFont="1" applyFill="1" applyBorder="1" applyAlignment="1">
      <alignment vertical="top"/>
    </xf>
    <xf numFmtId="2" fontId="37" fillId="24" borderId="0" xfId="45" applyNumberFormat="1" applyFont="1" applyFill="1" applyBorder="1" applyAlignment="1">
      <alignment vertical="top"/>
    </xf>
    <xf numFmtId="2" fontId="4" fillId="24" borderId="0" xfId="45" applyNumberFormat="1" applyFont="1" applyFill="1" applyBorder="1" applyAlignment="1">
      <alignment vertical="top"/>
    </xf>
    <xf numFmtId="2" fontId="34" fillId="24" borderId="0" xfId="45" applyNumberFormat="1" applyFont="1" applyFill="1" applyBorder="1" applyAlignment="1">
      <alignment horizontal="left" vertical="top"/>
    </xf>
    <xf numFmtId="2" fontId="38" fillId="24" borderId="0" xfId="54" applyNumberFormat="1" applyFont="1" applyFill="1" applyBorder="1" applyAlignment="1">
      <alignment horizontal="center" vertical="top"/>
    </xf>
    <xf numFmtId="2" fontId="28" fillId="24" borderId="24" xfId="54" applyNumberFormat="1" applyFill="1" applyBorder="1" applyAlignment="1">
      <alignment horizontal="center" vertical="top"/>
    </xf>
    <xf numFmtId="0" fontId="25" fillId="24" borderId="43" xfId="45" applyFont="1" applyFill="1" applyBorder="1" applyAlignment="1">
      <alignment horizontal="center" vertical="center"/>
    </xf>
    <xf numFmtId="0" fontId="26" fillId="27" borderId="14" xfId="45" applyFont="1" applyFill="1" applyBorder="1" applyAlignment="1">
      <alignment vertical="top"/>
    </xf>
    <xf numFmtId="0" fontId="26" fillId="27" borderId="15" xfId="45" applyFont="1" applyFill="1" applyBorder="1" applyAlignment="1">
      <alignment horizontal="center" vertical="center"/>
    </xf>
    <xf numFmtId="0" fontId="26" fillId="27" borderId="15" xfId="45" applyFont="1" applyFill="1" applyBorder="1" applyAlignment="1">
      <alignment horizontal="left" vertical="top"/>
    </xf>
    <xf numFmtId="1" fontId="25" fillId="27" borderId="15" xfId="45" applyNumberFormat="1" applyFont="1" applyFill="1" applyBorder="1" applyAlignment="1">
      <alignment horizontal="center" vertical="top"/>
    </xf>
    <xf numFmtId="0" fontId="25" fillId="27" borderId="15" xfId="45" applyFont="1" applyFill="1" applyBorder="1" applyAlignment="1">
      <alignment vertical="top"/>
    </xf>
    <xf numFmtId="165" fontId="25" fillId="27" borderId="15" xfId="55" applyFont="1" applyFill="1" applyBorder="1" applyAlignment="1">
      <alignment vertical="top"/>
    </xf>
    <xf numFmtId="0" fontId="25" fillId="27" borderId="25" xfId="45" applyFont="1" applyFill="1" applyBorder="1" applyAlignment="1">
      <alignment vertical="top"/>
    </xf>
    <xf numFmtId="0" fontId="44" fillId="30" borderId="22" xfId="0" applyFont="1" applyFill="1" applyBorder="1" applyAlignment="1">
      <alignment horizontal="center" vertical="top" wrapText="1"/>
    </xf>
    <xf numFmtId="1" fontId="44" fillId="30" borderId="22" xfId="0" applyNumberFormat="1" applyFont="1" applyFill="1" applyBorder="1" applyAlignment="1">
      <alignment horizontal="center" vertical="center" wrapText="1"/>
    </xf>
    <xf numFmtId="1" fontId="44" fillId="30" borderId="22" xfId="0" applyNumberFormat="1" applyFont="1" applyFill="1" applyBorder="1" applyAlignment="1">
      <alignment horizontal="center" vertical="top" wrapText="1"/>
    </xf>
    <xf numFmtId="165" fontId="44" fillId="30" borderId="22" xfId="0" applyNumberFormat="1" applyFont="1" applyFill="1" applyBorder="1" applyAlignment="1">
      <alignment horizontal="center" vertical="top" wrapText="1"/>
    </xf>
    <xf numFmtId="167" fontId="44" fillId="30" borderId="22" xfId="0" applyNumberFormat="1" applyFont="1" applyFill="1" applyBorder="1" applyAlignment="1">
      <alignment horizontal="center" vertical="top" wrapText="1"/>
    </xf>
    <xf numFmtId="2" fontId="32" fillId="30" borderId="23" xfId="0" applyNumberFormat="1" applyFont="1" applyFill="1" applyBorder="1" applyAlignment="1">
      <alignment horizontal="left" vertical="center"/>
    </xf>
    <xf numFmtId="2" fontId="45" fillId="30" borderId="12" xfId="0" applyNumberFormat="1" applyFont="1" applyFill="1" applyBorder="1" applyAlignment="1">
      <alignment horizontal="left" vertical="top"/>
    </xf>
    <xf numFmtId="2" fontId="32" fillId="30" borderId="12" xfId="0" applyNumberFormat="1" applyFont="1" applyFill="1" applyBorder="1" applyAlignment="1">
      <alignment horizontal="left" vertical="top"/>
    </xf>
    <xf numFmtId="2" fontId="32" fillId="30" borderId="12" xfId="0" applyNumberFormat="1" applyFont="1" applyFill="1" applyBorder="1" applyAlignment="1">
      <alignment horizontal="center" vertical="top"/>
    </xf>
    <xf numFmtId="2" fontId="32" fillId="30" borderId="24" xfId="0" applyNumberFormat="1" applyFont="1" applyFill="1" applyBorder="1" applyAlignment="1">
      <alignment horizontal="left" vertical="center"/>
    </xf>
    <xf numFmtId="2" fontId="45" fillId="30" borderId="0" xfId="0" applyNumberFormat="1" applyFont="1" applyFill="1" applyAlignment="1">
      <alignment horizontal="left" vertical="top"/>
    </xf>
    <xf numFmtId="2" fontId="32" fillId="30" borderId="0" xfId="0" applyNumberFormat="1" applyFont="1" applyFill="1" applyAlignment="1">
      <alignment horizontal="left" vertical="top"/>
    </xf>
    <xf numFmtId="2" fontId="32" fillId="30" borderId="0" xfId="0" applyNumberFormat="1" applyFont="1" applyFill="1" applyAlignment="1">
      <alignment horizontal="center" vertical="top"/>
    </xf>
    <xf numFmtId="167" fontId="27" fillId="24" borderId="0" xfId="0" applyNumberFormat="1" applyFont="1" applyFill="1" applyAlignment="1">
      <alignment horizontal="center" vertical="top" wrapText="1"/>
    </xf>
    <xf numFmtId="0" fontId="30" fillId="24" borderId="0" xfId="45" applyFont="1" applyFill="1" applyAlignment="1">
      <alignment vertical="top"/>
    </xf>
    <xf numFmtId="2" fontId="26" fillId="0" borderId="37" xfId="45" applyNumberFormat="1" applyFont="1" applyBorder="1" applyAlignment="1">
      <alignment horizontal="left" vertical="top" wrapText="1"/>
    </xf>
    <xf numFmtId="0" fontId="36" fillId="24" borderId="18" xfId="45" applyFont="1" applyFill="1" applyBorder="1" applyAlignment="1">
      <alignment horizontal="center" vertical="top" wrapText="1"/>
    </xf>
    <xf numFmtId="0" fontId="36" fillId="24" borderId="10" xfId="45" applyFont="1" applyFill="1" applyBorder="1" applyAlignment="1">
      <alignment horizontal="center" vertical="top" wrapText="1"/>
    </xf>
    <xf numFmtId="0" fontId="36" fillId="24" borderId="18" xfId="45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/>
    </xf>
    <xf numFmtId="2" fontId="29" fillId="30" borderId="12" xfId="0" applyNumberFormat="1" applyFont="1" applyFill="1" applyBorder="1" applyAlignment="1">
      <alignment horizontal="center" vertical="center"/>
    </xf>
    <xf numFmtId="2" fontId="29" fillId="30" borderId="0" xfId="0" applyNumberFormat="1" applyFont="1" applyFill="1" applyAlignment="1">
      <alignment horizontal="center" vertical="center"/>
    </xf>
    <xf numFmtId="0" fontId="25" fillId="0" borderId="12" xfId="45" applyFont="1" applyFill="1" applyBorder="1" applyAlignment="1">
      <alignment vertical="center"/>
    </xf>
    <xf numFmtId="0" fontId="25" fillId="24" borderId="0" xfId="45" applyFont="1" applyFill="1" applyAlignment="1">
      <alignment vertical="center"/>
    </xf>
    <xf numFmtId="2" fontId="37" fillId="0" borderId="0" xfId="45" applyNumberFormat="1" applyFont="1" applyFill="1" applyBorder="1" applyAlignment="1">
      <alignment vertical="center"/>
    </xf>
    <xf numFmtId="0" fontId="25" fillId="27" borderId="15" xfId="45" applyFont="1" applyFill="1" applyBorder="1" applyAlignment="1">
      <alignment vertical="center"/>
    </xf>
    <xf numFmtId="0" fontId="25" fillId="0" borderId="16" xfId="45" applyFont="1" applyFill="1" applyBorder="1" applyAlignment="1">
      <alignment horizontal="center" vertical="center"/>
    </xf>
    <xf numFmtId="0" fontId="25" fillId="0" borderId="34" xfId="45" applyFont="1" applyFill="1" applyBorder="1" applyAlignment="1">
      <alignment horizontal="center" vertical="center"/>
    </xf>
    <xf numFmtId="0" fontId="25" fillId="27" borderId="19" xfId="45" applyFont="1" applyFill="1" applyBorder="1" applyAlignment="1">
      <alignment vertical="center"/>
    </xf>
    <xf numFmtId="0" fontId="25" fillId="0" borderId="18" xfId="45" applyFont="1" applyBorder="1" applyAlignment="1">
      <alignment horizontal="center" vertical="center"/>
    </xf>
    <xf numFmtId="0" fontId="25" fillId="0" borderId="17" xfId="45" applyFont="1" applyFill="1" applyBorder="1" applyAlignment="1">
      <alignment horizontal="center" vertical="center"/>
    </xf>
    <xf numFmtId="164" fontId="25" fillId="26" borderId="20" xfId="0" applyNumberFormat="1" applyFont="1" applyFill="1" applyBorder="1" applyAlignment="1">
      <alignment horizontal="right" vertical="center"/>
    </xf>
    <xf numFmtId="0" fontId="25" fillId="0" borderId="17" xfId="0" applyFont="1" applyFill="1" applyBorder="1" applyAlignment="1">
      <alignment horizontal="center" vertical="center"/>
    </xf>
    <xf numFmtId="2" fontId="31" fillId="31" borderId="19" xfId="54" applyNumberFormat="1" applyFont="1" applyFill="1" applyBorder="1" applyAlignment="1">
      <alignment horizontal="left" vertical="center"/>
    </xf>
    <xf numFmtId="0" fontId="25" fillId="0" borderId="0" xfId="45" applyFont="1" applyFill="1" applyAlignment="1">
      <alignment vertical="center"/>
    </xf>
    <xf numFmtId="0" fontId="25" fillId="0" borderId="15" xfId="45" applyFont="1" applyFill="1" applyBorder="1" applyAlignment="1">
      <alignment vertical="center"/>
    </xf>
    <xf numFmtId="0" fontId="25" fillId="0" borderId="0" xfId="45" applyFont="1" applyFill="1" applyAlignment="1">
      <alignment horizontal="center" vertical="center"/>
    </xf>
    <xf numFmtId="0" fontId="30" fillId="0" borderId="10" xfId="57" applyFont="1" applyBorder="1" applyAlignment="1">
      <alignment wrapText="1"/>
    </xf>
    <xf numFmtId="0" fontId="30" fillId="0" borderId="10" xfId="57" applyFont="1" applyBorder="1" applyAlignment="1">
      <alignment horizontal="center" vertical="center" wrapText="1"/>
    </xf>
    <xf numFmtId="0" fontId="30" fillId="0" borderId="16" xfId="57" applyFont="1" applyBorder="1" applyAlignment="1">
      <alignment wrapText="1"/>
    </xf>
    <xf numFmtId="0" fontId="30" fillId="0" borderId="16" xfId="57" applyFont="1" applyBorder="1" applyAlignment="1">
      <alignment horizontal="center" vertical="center" wrapText="1"/>
    </xf>
    <xf numFmtId="0" fontId="30" fillId="0" borderId="10" xfId="57" applyFont="1" applyBorder="1" applyAlignment="1">
      <alignment vertical="center" wrapText="1"/>
    </xf>
    <xf numFmtId="0" fontId="30" fillId="0" borderId="10" xfId="57" applyFont="1" applyBorder="1" applyAlignment="1">
      <alignment horizontal="center" vertical="center" wrapText="1"/>
    </xf>
    <xf numFmtId="9" fontId="25" fillId="24" borderId="10" xfId="45" applyNumberFormat="1" applyFont="1" applyFill="1" applyBorder="1" applyAlignment="1">
      <alignment horizontal="center" vertical="center"/>
    </xf>
    <xf numFmtId="165" fontId="25" fillId="29" borderId="10" xfId="55" applyFont="1" applyFill="1" applyBorder="1" applyAlignment="1" applyProtection="1">
      <alignment horizontal="center" vertical="center"/>
    </xf>
    <xf numFmtId="165" fontId="25" fillId="0" borderId="10" xfId="55" applyFont="1" applyFill="1" applyBorder="1" applyAlignment="1" applyProtection="1">
      <alignment horizontal="center" vertical="center"/>
    </xf>
    <xf numFmtId="168" fontId="25" fillId="0" borderId="18" xfId="45" applyNumberFormat="1" applyFont="1" applyBorder="1" applyAlignment="1">
      <alignment horizontal="center" vertical="center"/>
    </xf>
    <xf numFmtId="0" fontId="30" fillId="0" borderId="10" xfId="57" applyFont="1" applyBorder="1" applyAlignment="1">
      <alignment wrapText="1"/>
    </xf>
    <xf numFmtId="0" fontId="30" fillId="0" borderId="10" xfId="57" applyFont="1" applyBorder="1" applyAlignment="1">
      <alignment horizontal="center" vertical="center" wrapText="1"/>
    </xf>
    <xf numFmtId="0" fontId="44" fillId="0" borderId="16" xfId="0" applyFont="1" applyBorder="1" applyAlignment="1">
      <alignment horizontal="left" vertical="center" wrapText="1"/>
    </xf>
    <xf numFmtId="0" fontId="30" fillId="0" borderId="10" xfId="57" applyFont="1" applyBorder="1" applyAlignment="1">
      <alignment horizontal="center" vertical="center" wrapText="1"/>
    </xf>
    <xf numFmtId="0" fontId="30" fillId="0" borderId="10" xfId="57" applyFont="1" applyBorder="1" applyAlignment="1">
      <alignment horizontal="center" vertical="center" wrapText="1"/>
    </xf>
    <xf numFmtId="0" fontId="30" fillId="0" borderId="10" xfId="57" applyFont="1" applyBorder="1" applyAlignment="1">
      <alignment wrapText="1"/>
    </xf>
    <xf numFmtId="0" fontId="30" fillId="0" borderId="10" xfId="57" applyFont="1" applyBorder="1" applyAlignment="1">
      <alignment horizontal="center" vertical="center" wrapText="1"/>
    </xf>
    <xf numFmtId="0" fontId="30" fillId="0" borderId="10" xfId="57" applyFont="1" applyBorder="1" applyAlignment="1">
      <alignment wrapText="1"/>
    </xf>
    <xf numFmtId="0" fontId="30" fillId="0" borderId="10" xfId="57" applyFont="1" applyBorder="1" applyAlignment="1">
      <alignment horizontal="center" vertical="center" wrapText="1"/>
    </xf>
    <xf numFmtId="164" fontId="25" fillId="24" borderId="10" xfId="45" applyNumberFormat="1" applyFont="1" applyFill="1" applyBorder="1" applyAlignment="1">
      <alignment horizontal="center" vertical="center"/>
    </xf>
    <xf numFmtId="0" fontId="30" fillId="0" borderId="10" xfId="57" applyFont="1" applyBorder="1" applyAlignment="1">
      <alignment horizontal="center" vertical="center" wrapText="1"/>
    </xf>
    <xf numFmtId="0" fontId="44" fillId="0" borderId="10" xfId="57" applyFont="1" applyBorder="1" applyAlignment="1">
      <alignment horizontal="center" vertical="center" wrapText="1"/>
    </xf>
    <xf numFmtId="0" fontId="30" fillId="0" borderId="10" xfId="57" applyFont="1" applyBorder="1" applyAlignment="1">
      <alignment horizontal="left" vertical="center" wrapText="1"/>
    </xf>
    <xf numFmtId="0" fontId="44" fillId="0" borderId="10" xfId="57" applyFont="1" applyBorder="1" applyAlignment="1">
      <alignment horizontal="left" vertical="center" wrapText="1"/>
    </xf>
    <xf numFmtId="168" fontId="25" fillId="24" borderId="18" xfId="45" applyNumberFormat="1" applyFont="1" applyFill="1" applyBorder="1" applyAlignment="1">
      <alignment horizontal="center" vertical="top"/>
    </xf>
    <xf numFmtId="0" fontId="39" fillId="24" borderId="10" xfId="45" applyFont="1" applyFill="1" applyBorder="1" applyAlignment="1">
      <alignment horizontal="center" vertical="center" wrapText="1"/>
    </xf>
    <xf numFmtId="175" fontId="26" fillId="24" borderId="35" xfId="45" applyNumberFormat="1" applyFont="1" applyFill="1" applyBorder="1" applyAlignment="1">
      <alignment horizontal="center" vertical="center"/>
    </xf>
    <xf numFmtId="0" fontId="30" fillId="0" borderId="16" xfId="0" applyFont="1" applyBorder="1" applyAlignment="1">
      <alignment wrapText="1"/>
    </xf>
    <xf numFmtId="0" fontId="30" fillId="0" borderId="10" xfId="57" applyFont="1" applyBorder="1" applyAlignment="1">
      <alignment horizontal="center" vertical="center" wrapText="1"/>
    </xf>
    <xf numFmtId="0" fontId="30" fillId="0" borderId="10" xfId="57" applyFont="1" applyBorder="1" applyAlignment="1">
      <alignment horizontal="center" vertical="center" wrapText="1"/>
    </xf>
    <xf numFmtId="0" fontId="30" fillId="0" borderId="10" xfId="57" applyFont="1" applyBorder="1" applyAlignment="1">
      <alignment horizontal="left" vertical="center" wrapText="1"/>
    </xf>
    <xf numFmtId="0" fontId="30" fillId="0" borderId="16" xfId="57" applyFont="1" applyBorder="1" applyAlignment="1">
      <alignment horizontal="left" vertical="center" wrapText="1"/>
    </xf>
    <xf numFmtId="0" fontId="30" fillId="0" borderId="10" xfId="57" applyFont="1" applyBorder="1" applyAlignment="1">
      <alignment horizontal="center" vertical="center" wrapText="1"/>
    </xf>
    <xf numFmtId="0" fontId="30" fillId="0" borderId="10" xfId="57" applyFont="1" applyBorder="1" applyAlignment="1">
      <alignment horizontal="left" vertical="center" wrapText="1"/>
    </xf>
    <xf numFmtId="0" fontId="30" fillId="24" borderId="10" xfId="57" applyFont="1" applyFill="1" applyBorder="1" applyAlignment="1">
      <alignment horizontal="center" vertical="center" wrapText="1"/>
    </xf>
    <xf numFmtId="0" fontId="30" fillId="0" borderId="10" xfId="57" applyFont="1" applyBorder="1" applyAlignment="1">
      <alignment horizontal="center" vertical="center" wrapText="1"/>
    </xf>
    <xf numFmtId="0" fontId="30" fillId="0" borderId="10" xfId="57" applyFont="1" applyBorder="1" applyAlignment="1">
      <alignment horizontal="left" vertical="center" wrapText="1"/>
    </xf>
    <xf numFmtId="0" fontId="44" fillId="0" borderId="10" xfId="57" applyFont="1" applyBorder="1" applyAlignment="1">
      <alignment horizontal="left" vertical="center" wrapText="1"/>
    </xf>
    <xf numFmtId="2" fontId="25" fillId="0" borderId="33" xfId="45" applyNumberFormat="1" applyFont="1" applyBorder="1" applyAlignment="1">
      <alignment horizontal="left" vertical="center" wrapText="1"/>
    </xf>
    <xf numFmtId="0" fontId="25" fillId="0" borderId="34" xfId="45" applyFont="1" applyBorder="1" applyAlignment="1">
      <alignment horizontal="center" vertical="center" wrapText="1"/>
    </xf>
    <xf numFmtId="1" fontId="25" fillId="0" borderId="16" xfId="45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center" vertical="center" wrapText="1"/>
    </xf>
    <xf numFmtId="0" fontId="36" fillId="24" borderId="10" xfId="45" applyFont="1" applyFill="1" applyBorder="1" applyAlignment="1">
      <alignment horizontal="center" vertical="center"/>
    </xf>
    <xf numFmtId="2" fontId="45" fillId="30" borderId="11" xfId="0" applyNumberFormat="1" applyFont="1" applyFill="1" applyBorder="1" applyAlignment="1">
      <alignment horizontal="left" vertical="center"/>
    </xf>
    <xf numFmtId="2" fontId="45" fillId="30" borderId="13" xfId="0" applyNumberFormat="1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left" vertical="center"/>
    </xf>
    <xf numFmtId="0" fontId="25" fillId="24" borderId="13" xfId="0" applyFont="1" applyFill="1" applyBorder="1" applyAlignment="1">
      <alignment horizontal="left" vertical="center"/>
    </xf>
    <xf numFmtId="0" fontId="26" fillId="24" borderId="13" xfId="0" applyFont="1" applyFill="1" applyBorder="1" applyAlignment="1">
      <alignment horizontal="left" vertical="center"/>
    </xf>
    <xf numFmtId="0" fontId="44" fillId="30" borderId="22" xfId="0" applyFont="1" applyFill="1" applyBorder="1" applyAlignment="1">
      <alignment horizontal="center" vertical="center" wrapText="1"/>
    </xf>
    <xf numFmtId="0" fontId="25" fillId="0" borderId="50" xfId="45" applyFont="1" applyBorder="1" applyAlignment="1">
      <alignment horizontal="center" vertical="center"/>
    </xf>
    <xf numFmtId="1" fontId="26" fillId="26" borderId="21" xfId="0" applyNumberFormat="1" applyFont="1" applyFill="1" applyBorder="1" applyAlignment="1">
      <alignment horizontal="left" vertical="center"/>
    </xf>
    <xf numFmtId="1" fontId="26" fillId="0" borderId="21" xfId="0" applyNumberFormat="1" applyFont="1" applyBorder="1" applyAlignment="1">
      <alignment horizontal="left" vertical="center"/>
    </xf>
    <xf numFmtId="1" fontId="27" fillId="31" borderId="21" xfId="0" applyNumberFormat="1" applyFont="1" applyFill="1" applyBorder="1" applyAlignment="1">
      <alignment horizontal="left" vertical="center"/>
    </xf>
    <xf numFmtId="0" fontId="41" fillId="0" borderId="13" xfId="45" applyFont="1" applyBorder="1" applyAlignment="1">
      <alignment horizontal="left" vertical="center"/>
    </xf>
    <xf numFmtId="0" fontId="41" fillId="0" borderId="14" xfId="45" applyFont="1" applyBorder="1" applyAlignment="1">
      <alignment horizontal="left" vertical="center"/>
    </xf>
    <xf numFmtId="0" fontId="25" fillId="0" borderId="13" xfId="45" applyFont="1" applyBorder="1" applyAlignment="1">
      <alignment horizontal="center" vertical="center"/>
    </xf>
    <xf numFmtId="2" fontId="26" fillId="26" borderId="29" xfId="45" applyNumberFormat="1" applyFont="1" applyFill="1" applyBorder="1" applyAlignment="1">
      <alignment horizontal="left" vertical="top" wrapText="1"/>
    </xf>
    <xf numFmtId="2" fontId="26" fillId="26" borderId="19" xfId="45" applyNumberFormat="1" applyFont="1" applyFill="1" applyBorder="1" applyAlignment="1">
      <alignment horizontal="left" vertical="top" wrapText="1"/>
    </xf>
    <xf numFmtId="2" fontId="26" fillId="26" borderId="30" xfId="45" applyNumberFormat="1" applyFont="1" applyFill="1" applyBorder="1" applyAlignment="1">
      <alignment horizontal="left" vertical="top" wrapText="1"/>
    </xf>
    <xf numFmtId="0" fontId="25" fillId="24" borderId="45" xfId="45" applyFont="1" applyFill="1" applyBorder="1" applyAlignment="1">
      <alignment horizontal="center" vertical="top" wrapText="1"/>
    </xf>
    <xf numFmtId="0" fontId="25" fillId="24" borderId="46" xfId="45" applyFont="1" applyFill="1" applyBorder="1" applyAlignment="1">
      <alignment horizontal="center" vertical="top" wrapText="1"/>
    </xf>
    <xf numFmtId="0" fontId="25" fillId="24" borderId="47" xfId="45" applyFont="1" applyFill="1" applyBorder="1" applyAlignment="1">
      <alignment horizontal="center" vertical="top" wrapText="1"/>
    </xf>
    <xf numFmtId="0" fontId="25" fillId="24" borderId="31" xfId="45" applyFont="1" applyFill="1" applyBorder="1" applyAlignment="1">
      <alignment horizontal="center" vertical="top" wrapText="1"/>
    </xf>
    <xf numFmtId="0" fontId="25" fillId="24" borderId="43" xfId="45" applyFont="1" applyFill="1" applyBorder="1" applyAlignment="1">
      <alignment horizontal="center" vertical="top" wrapText="1"/>
    </xf>
    <xf numFmtId="0" fontId="25" fillId="24" borderId="36" xfId="45" applyFont="1" applyFill="1" applyBorder="1" applyAlignment="1">
      <alignment horizontal="center" vertical="top" wrapText="1"/>
    </xf>
    <xf numFmtId="0" fontId="30" fillId="0" borderId="45" xfId="0" applyFont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165" fontId="25" fillId="0" borderId="45" xfId="55" applyFont="1" applyFill="1" applyBorder="1" applyAlignment="1" applyProtection="1">
      <alignment horizontal="center" vertical="top"/>
    </xf>
    <xf numFmtId="165" fontId="25" fillId="0" borderId="33" xfId="55" applyFont="1" applyFill="1" applyBorder="1" applyAlignment="1" applyProtection="1">
      <alignment horizontal="center" vertical="top"/>
    </xf>
    <xf numFmtId="165" fontId="25" fillId="0" borderId="48" xfId="55" applyFont="1" applyFill="1" applyBorder="1" applyAlignment="1" applyProtection="1">
      <alignment horizontal="center" vertical="top"/>
    </xf>
    <xf numFmtId="165" fontId="25" fillId="0" borderId="47" xfId="55" applyFont="1" applyFill="1" applyBorder="1" applyAlignment="1" applyProtection="1">
      <alignment horizontal="center" vertical="top"/>
    </xf>
    <xf numFmtId="165" fontId="25" fillId="0" borderId="0" xfId="55" applyFont="1" applyFill="1" applyBorder="1" applyAlignment="1" applyProtection="1">
      <alignment horizontal="center" vertical="top"/>
    </xf>
    <xf numFmtId="165" fontId="25" fillId="0" borderId="24" xfId="55" applyFont="1" applyFill="1" applyBorder="1" applyAlignment="1" applyProtection="1">
      <alignment horizontal="center" vertical="top"/>
    </xf>
    <xf numFmtId="165" fontId="25" fillId="0" borderId="43" xfId="55" applyFont="1" applyFill="1" applyBorder="1" applyAlignment="1" applyProtection="1">
      <alignment horizontal="center" vertical="top"/>
    </xf>
    <xf numFmtId="165" fontId="25" fillId="0" borderId="39" xfId="55" applyFont="1" applyFill="1" applyBorder="1" applyAlignment="1" applyProtection="1">
      <alignment horizontal="center" vertical="top"/>
    </xf>
    <xf numFmtId="165" fontId="25" fillId="0" borderId="49" xfId="55" applyFont="1" applyFill="1" applyBorder="1" applyAlignment="1" applyProtection="1">
      <alignment horizontal="center" vertical="top"/>
    </xf>
  </cellXfs>
  <cellStyles count="5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6" xr:uid="{00000000-0005-0000-0000-00001B000000}"/>
    <cellStyle name="Comma 2 2" xfId="48" xr:uid="{00000000-0005-0000-0000-00001C000000}"/>
    <cellStyle name="Currency 2" xfId="50" xr:uid="{00000000-0005-0000-0000-00001E000000}"/>
    <cellStyle name="Currency 3" xfId="55" xr:uid="{00000000-0005-0000-0000-00001F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54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B000000}"/>
    <cellStyle name="Normal 2 2" xfId="47" xr:uid="{00000000-0005-0000-0000-00002C000000}"/>
    <cellStyle name="Normal 2 3" xfId="45" xr:uid="{00000000-0005-0000-0000-00002D000000}"/>
    <cellStyle name="Normal 2 3 2" xfId="52" xr:uid="{00000000-0005-0000-0000-00002E000000}"/>
    <cellStyle name="Normal 3" xfId="37" xr:uid="{00000000-0005-0000-0000-00002F000000}"/>
    <cellStyle name="Normal 4" xfId="43" xr:uid="{00000000-0005-0000-0000-000030000000}"/>
    <cellStyle name="Normal 4 2" xfId="53" xr:uid="{00000000-0005-0000-0000-000031000000}"/>
    <cellStyle name="Normal 4 3" xfId="51" xr:uid="{00000000-0005-0000-0000-000032000000}"/>
    <cellStyle name="Normal 5" xfId="49" xr:uid="{00000000-0005-0000-0000-000033000000}"/>
    <cellStyle name="Normal 6" xfId="57" xr:uid="{3361D143-C73A-44BD-A4D2-FD99B6C26E93}"/>
    <cellStyle name="Note" xfId="38" builtinId="10" customBuiltin="1"/>
    <cellStyle name="Output" xfId="39" builtinId="21" customBuiltin="1"/>
    <cellStyle name="Percent 2" xfId="56" xr:uid="{00000000-0005-0000-0000-000037000000}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FED2DC"/>
      <color rgb="FFF50101"/>
      <color rgb="FFF55D61"/>
      <color rgb="FFD5D5D5"/>
      <color rgb="FFB94517"/>
      <color rgb="FFFE9494"/>
      <color rgb="FFF3F3F3"/>
      <color rgb="FFCE2008"/>
      <color rgb="FFFF512C"/>
      <color rgb="FFDE79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393"/>
  <sheetViews>
    <sheetView tabSelected="1" view="pageBreakPreview" topLeftCell="B1" zoomScale="70" zoomScaleNormal="70" zoomScaleSheetLayoutView="70" workbookViewId="0">
      <selection activeCell="C2" sqref="C2"/>
    </sheetView>
  </sheetViews>
  <sheetFormatPr defaultColWidth="9.6640625" defaultRowHeight="15" x14ac:dyDescent="0.15"/>
  <cols>
    <col min="1" max="1" width="7.30078125" style="258" customWidth="1"/>
    <col min="2" max="2" width="11.796875" style="131" bestFit="1" customWidth="1"/>
    <col min="3" max="3" width="13.37109375" style="105" customWidth="1"/>
    <col min="4" max="4" width="10.44921875" style="105" bestFit="1" customWidth="1"/>
    <col min="5" max="5" width="43.82421875" style="106" customWidth="1"/>
    <col min="6" max="6" width="7.078125" style="201" customWidth="1"/>
    <col min="7" max="7" width="8.42578125" style="107" customWidth="1"/>
    <col min="8" max="8" width="8.08984375" style="108" customWidth="1"/>
    <col min="9" max="9" width="7.86328125" style="108" customWidth="1"/>
    <col min="10" max="13" width="9.32421875" style="111" customWidth="1"/>
    <col min="14" max="14" width="11.4609375" style="110" customWidth="1"/>
    <col min="15" max="15" width="11.68359375" style="27" customWidth="1"/>
    <col min="16" max="16" width="8.875" style="20" customWidth="1"/>
    <col min="17" max="17" width="10.78515625" style="20" bestFit="1" customWidth="1"/>
    <col min="18" max="16384" width="9.6640625" style="20"/>
  </cols>
  <sheetData>
    <row r="1" spans="1:100" s="5" customFormat="1" ht="15.75" thickBot="1" x14ac:dyDescent="0.2">
      <c r="A1" s="246" t="s">
        <v>19</v>
      </c>
      <c r="B1" s="169"/>
      <c r="C1" s="170" t="s">
        <v>298</v>
      </c>
      <c r="D1" s="171"/>
      <c r="E1" s="172"/>
      <c r="F1" s="185"/>
      <c r="G1" s="142"/>
      <c r="H1" s="142"/>
      <c r="I1" s="142"/>
      <c r="J1" s="143"/>
      <c r="K1" s="143"/>
      <c r="L1" s="143"/>
      <c r="M1" s="143"/>
      <c r="N1" s="142"/>
      <c r="O1" s="144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</row>
    <row r="2" spans="1:100" s="5" customFormat="1" ht="15.75" thickBot="1" x14ac:dyDescent="0.2">
      <c r="A2" s="247" t="s">
        <v>20</v>
      </c>
      <c r="B2" s="173"/>
      <c r="C2" s="174"/>
      <c r="D2" s="175"/>
      <c r="E2" s="176"/>
      <c r="F2" s="186"/>
      <c r="G2" s="145"/>
      <c r="H2" s="145"/>
      <c r="I2" s="145"/>
      <c r="J2" s="146"/>
      <c r="K2" s="146"/>
      <c r="L2" s="146"/>
      <c r="M2" s="146"/>
      <c r="N2" s="145"/>
      <c r="O2" s="147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</row>
    <row r="3" spans="1:100" x14ac:dyDescent="0.15">
      <c r="A3" s="248" t="s">
        <v>21</v>
      </c>
      <c r="B3" s="122"/>
      <c r="C3" s="29"/>
      <c r="D3" s="29"/>
      <c r="E3" s="30"/>
      <c r="F3" s="187"/>
      <c r="G3" s="31"/>
      <c r="H3" s="30"/>
      <c r="I3" s="30"/>
      <c r="J3" s="31"/>
      <c r="K3" s="31"/>
      <c r="L3" s="31"/>
      <c r="M3" s="31"/>
      <c r="N3" s="32"/>
      <c r="O3" s="33"/>
      <c r="P3" s="27"/>
    </row>
    <row r="4" spans="1:100" x14ac:dyDescent="0.15">
      <c r="A4" s="249" t="s">
        <v>22</v>
      </c>
      <c r="B4" s="123"/>
      <c r="C4" s="34"/>
      <c r="D4" s="34"/>
      <c r="E4" s="35"/>
      <c r="F4" s="188"/>
      <c r="G4" s="27"/>
      <c r="H4" s="35"/>
      <c r="I4" s="35"/>
      <c r="J4" s="113"/>
      <c r="K4" s="113"/>
      <c r="L4" s="113"/>
      <c r="M4" s="113"/>
      <c r="N4" s="36"/>
      <c r="O4" s="37"/>
      <c r="P4" s="27"/>
    </row>
    <row r="5" spans="1:100" ht="15.75" thickBot="1" x14ac:dyDescent="0.2">
      <c r="A5" s="250" t="s">
        <v>32</v>
      </c>
      <c r="B5" s="123"/>
      <c r="C5" s="148">
        <f>N$383</f>
        <v>0</v>
      </c>
      <c r="D5" s="148"/>
      <c r="E5" s="149"/>
      <c r="F5" s="189"/>
      <c r="G5" s="150"/>
      <c r="H5" s="151"/>
      <c r="I5" s="152"/>
      <c r="J5" s="153"/>
      <c r="K5" s="153"/>
      <c r="L5" s="153"/>
      <c r="M5" s="153"/>
      <c r="N5" s="154"/>
      <c r="O5" s="155"/>
      <c r="P5" s="27"/>
    </row>
    <row r="6" spans="1:100" s="40" customFormat="1" ht="30.75" thickBot="1" x14ac:dyDescent="0.25">
      <c r="A6" s="251" t="s">
        <v>6</v>
      </c>
      <c r="B6" s="165" t="s">
        <v>9</v>
      </c>
      <c r="C6" s="166" t="s">
        <v>10</v>
      </c>
      <c r="D6" s="166" t="s">
        <v>11</v>
      </c>
      <c r="E6" s="166" t="s">
        <v>1</v>
      </c>
      <c r="F6" s="165" t="s">
        <v>0</v>
      </c>
      <c r="G6" s="166" t="s">
        <v>14</v>
      </c>
      <c r="H6" s="166" t="s">
        <v>3</v>
      </c>
      <c r="I6" s="166" t="s">
        <v>4</v>
      </c>
      <c r="J6" s="167" t="s">
        <v>36</v>
      </c>
      <c r="K6" s="167" t="s">
        <v>37</v>
      </c>
      <c r="L6" s="167" t="s">
        <v>38</v>
      </c>
      <c r="M6" s="167" t="s">
        <v>39</v>
      </c>
      <c r="N6" s="164" t="s">
        <v>5</v>
      </c>
      <c r="O6" s="168" t="s">
        <v>7</v>
      </c>
      <c r="P6" s="177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9"/>
      <c r="AC6" s="39"/>
      <c r="AD6" s="39"/>
      <c r="AE6" s="39"/>
    </row>
    <row r="7" spans="1:100" s="49" customFormat="1" ht="15.75" thickBot="1" x14ac:dyDescent="0.2">
      <c r="A7" s="252" t="str">
        <f>IF(G7&lt;&gt;"",1+MAX($A$6:A6),"")</f>
        <v/>
      </c>
      <c r="B7" s="156"/>
      <c r="C7" s="157"/>
      <c r="D7" s="158" t="s">
        <v>23</v>
      </c>
      <c r="E7" s="159" t="s">
        <v>24</v>
      </c>
      <c r="F7" s="190"/>
      <c r="G7" s="160"/>
      <c r="H7" s="161"/>
      <c r="I7" s="161"/>
      <c r="J7" s="162"/>
      <c r="K7" s="162"/>
      <c r="L7" s="162"/>
      <c r="M7" s="162"/>
      <c r="N7" s="163"/>
      <c r="O7" s="48"/>
      <c r="P7" s="178"/>
    </row>
    <row r="8" spans="1:100" ht="15.75" thickBot="1" x14ac:dyDescent="0.2">
      <c r="A8" s="114" t="str">
        <f>IF(G8&lt;&gt;"",1+MAX($A$6:A7),"")</f>
        <v/>
      </c>
      <c r="B8" s="115"/>
      <c r="C8" s="50"/>
      <c r="D8" s="51"/>
      <c r="E8" s="259" t="s">
        <v>25</v>
      </c>
      <c r="F8" s="260"/>
      <c r="G8" s="261"/>
      <c r="H8" s="52"/>
      <c r="I8" s="53"/>
      <c r="J8" s="54"/>
      <c r="K8" s="54"/>
      <c r="L8" s="54"/>
      <c r="M8" s="54"/>
      <c r="N8" s="55"/>
      <c r="O8" s="19"/>
      <c r="P8" s="27"/>
    </row>
    <row r="9" spans="1:100" ht="75" thickBot="1" x14ac:dyDescent="0.25">
      <c r="A9" s="114" t="str">
        <f>IF(G9&lt;&gt;"",1+MAX($A$6:A8),"")</f>
        <v/>
      </c>
      <c r="B9" s="115"/>
      <c r="C9" s="13"/>
      <c r="D9" s="13"/>
      <c r="E9" s="179" t="s">
        <v>107</v>
      </c>
      <c r="F9" s="191"/>
      <c r="G9" s="56"/>
      <c r="H9" s="15"/>
      <c r="I9" s="16"/>
      <c r="J9" s="17"/>
      <c r="K9" s="17"/>
      <c r="L9" s="17"/>
      <c r="M9" s="17"/>
      <c r="N9" s="18"/>
      <c r="O9" s="19"/>
    </row>
    <row r="10" spans="1:100" ht="15.75" x14ac:dyDescent="0.2">
      <c r="A10" s="114">
        <f>IF(G10&lt;&gt;"",1+MAX($A$6:A9),"")</f>
        <v>1</v>
      </c>
      <c r="B10" s="115" t="s">
        <v>108</v>
      </c>
      <c r="C10" s="13"/>
      <c r="D10" s="12"/>
      <c r="E10" s="57" t="s">
        <v>26</v>
      </c>
      <c r="F10" s="119" t="s">
        <v>13</v>
      </c>
      <c r="G10" s="58">
        <f>(9*9*1/27)*20</f>
        <v>60</v>
      </c>
      <c r="H10" s="6">
        <v>7.0000000000000007E-2</v>
      </c>
      <c r="I10" s="16">
        <f t="shared" ref="I10:I14" si="0">G10*(1+H10)</f>
        <v>64.2</v>
      </c>
      <c r="J10" s="21">
        <v>0</v>
      </c>
      <c r="K10" s="21">
        <v>0</v>
      </c>
      <c r="L10" s="112">
        <f>J10*I10</f>
        <v>0</v>
      </c>
      <c r="M10" s="112">
        <f>K10*I10</f>
        <v>0</v>
      </c>
      <c r="N10" s="22">
        <f t="shared" ref="N10:N14" si="1">L10+M10</f>
        <v>0</v>
      </c>
      <c r="O10" s="19"/>
    </row>
    <row r="11" spans="1:100" ht="15.75" x14ac:dyDescent="0.2">
      <c r="A11" s="114">
        <f>IF(G11&lt;&gt;"",1+MAX($A$6:A10),"")</f>
        <v>2</v>
      </c>
      <c r="B11" s="115" t="s">
        <v>108</v>
      </c>
      <c r="C11" s="180"/>
      <c r="D11" s="181" t="s">
        <v>86</v>
      </c>
      <c r="E11" s="23" t="s">
        <v>110</v>
      </c>
      <c r="F11" s="119" t="s">
        <v>34</v>
      </c>
      <c r="G11" s="11">
        <f>8.5*9*4*20*0.668</f>
        <v>4088.1600000000003</v>
      </c>
      <c r="H11" s="6">
        <v>7.0000000000000007E-2</v>
      </c>
      <c r="I11" s="16">
        <f t="shared" si="0"/>
        <v>4374.3312000000005</v>
      </c>
      <c r="J11" s="21">
        <v>0</v>
      </c>
      <c r="K11" s="21">
        <v>0</v>
      </c>
      <c r="L11" s="112">
        <f>J11*I11</f>
        <v>0</v>
      </c>
      <c r="M11" s="112">
        <f>K11*I11</f>
        <v>0</v>
      </c>
      <c r="N11" s="22">
        <f t="shared" si="1"/>
        <v>0</v>
      </c>
      <c r="O11" s="19"/>
      <c r="P11" s="59"/>
    </row>
    <row r="12" spans="1:100" ht="15.75" x14ac:dyDescent="0.2">
      <c r="A12" s="114">
        <f>IF(G12&lt;&gt;"",1+MAX($A$6:A11),"")</f>
        <v>3</v>
      </c>
      <c r="B12" s="115" t="s">
        <v>108</v>
      </c>
      <c r="C12" s="13"/>
      <c r="D12" s="12"/>
      <c r="E12" s="23" t="s">
        <v>15</v>
      </c>
      <c r="F12" s="119" t="s">
        <v>16</v>
      </c>
      <c r="G12" s="58">
        <f>9*4*1*20</f>
        <v>720</v>
      </c>
      <c r="H12" s="60">
        <v>7.0000000000000007E-2</v>
      </c>
      <c r="I12" s="16">
        <f t="shared" si="0"/>
        <v>770.40000000000009</v>
      </c>
      <c r="J12" s="21">
        <v>0</v>
      </c>
      <c r="K12" s="21">
        <v>0</v>
      </c>
      <c r="L12" s="112">
        <f>J12*I12</f>
        <v>0</v>
      </c>
      <c r="M12" s="112">
        <f>K12*I12</f>
        <v>0</v>
      </c>
      <c r="N12" s="22">
        <f t="shared" si="1"/>
        <v>0</v>
      </c>
      <c r="O12" s="19"/>
    </row>
    <row r="13" spans="1:100" ht="15.75" x14ac:dyDescent="0.2">
      <c r="A13" s="114">
        <f>IF(G13&lt;&gt;"",1+MAX($A$6:A12),"")</f>
        <v>4</v>
      </c>
      <c r="B13" s="115" t="s">
        <v>108</v>
      </c>
      <c r="C13" s="13"/>
      <c r="D13" s="12"/>
      <c r="E13" s="23" t="s">
        <v>18</v>
      </c>
      <c r="F13" s="119" t="s">
        <v>13</v>
      </c>
      <c r="G13" s="58">
        <f>9.5*9.5*1/27*20</f>
        <v>66.851851851851848</v>
      </c>
      <c r="H13" s="60">
        <v>7.0000000000000007E-2</v>
      </c>
      <c r="I13" s="16">
        <f t="shared" si="0"/>
        <v>71.531481481481478</v>
      </c>
      <c r="J13" s="21">
        <v>0</v>
      </c>
      <c r="K13" s="21">
        <v>0</v>
      </c>
      <c r="L13" s="112">
        <f>J13*I13</f>
        <v>0</v>
      </c>
      <c r="M13" s="112">
        <f>K13*I13</f>
        <v>0</v>
      </c>
      <c r="N13" s="22">
        <f t="shared" si="1"/>
        <v>0</v>
      </c>
      <c r="O13" s="19"/>
    </row>
    <row r="14" spans="1:100" ht="15.75" x14ac:dyDescent="0.2">
      <c r="A14" s="114">
        <f>IF(G14&lt;&gt;"",1+MAX($A$6:A13),"")</f>
        <v>5</v>
      </c>
      <c r="B14" s="115" t="s">
        <v>108</v>
      </c>
      <c r="C14" s="13"/>
      <c r="D14" s="12"/>
      <c r="E14" s="23" t="s">
        <v>17</v>
      </c>
      <c r="F14" s="119" t="s">
        <v>13</v>
      </c>
      <c r="G14" s="58">
        <f>G13-G10</f>
        <v>6.8518518518518476</v>
      </c>
      <c r="H14" s="60">
        <v>7.0000000000000007E-2</v>
      </c>
      <c r="I14" s="16">
        <f t="shared" si="0"/>
        <v>7.331481481481477</v>
      </c>
      <c r="J14" s="21">
        <v>0</v>
      </c>
      <c r="K14" s="21">
        <v>0</v>
      </c>
      <c r="L14" s="112">
        <f>J14*I14</f>
        <v>0</v>
      </c>
      <c r="M14" s="112">
        <f>K14*I14</f>
        <v>0</v>
      </c>
      <c r="N14" s="22">
        <f t="shared" si="1"/>
        <v>0</v>
      </c>
      <c r="O14" s="19"/>
    </row>
    <row r="15" spans="1:100" ht="15.75" thickBot="1" x14ac:dyDescent="0.2">
      <c r="A15" s="114" t="str">
        <f>IF(G15&lt;&gt;"",1+MAX($A$6:A14),"")</f>
        <v/>
      </c>
      <c r="B15" s="115"/>
      <c r="C15" s="13"/>
      <c r="D15" s="12"/>
      <c r="E15" s="62"/>
      <c r="F15" s="119"/>
      <c r="G15" s="11"/>
      <c r="H15" s="60"/>
      <c r="I15" s="9"/>
      <c r="J15" s="24"/>
      <c r="K15" s="24"/>
      <c r="L15" s="24"/>
      <c r="M15" s="24"/>
      <c r="N15" s="22"/>
      <c r="O15" s="19"/>
    </row>
    <row r="16" spans="1:100" ht="75" thickBot="1" x14ac:dyDescent="0.25">
      <c r="A16" s="114" t="str">
        <f>IF(G16&lt;&gt;"",1+MAX($A$6:A15),"")</f>
        <v/>
      </c>
      <c r="B16" s="115"/>
      <c r="C16" s="13"/>
      <c r="D16" s="13"/>
      <c r="E16" s="14" t="s">
        <v>111</v>
      </c>
      <c r="F16" s="119"/>
      <c r="G16" s="56"/>
      <c r="H16" s="15"/>
      <c r="I16" s="16"/>
      <c r="J16" s="17"/>
      <c r="K16" s="17"/>
      <c r="L16" s="17"/>
      <c r="M16" s="17"/>
      <c r="N16" s="18"/>
      <c r="O16" s="19"/>
    </row>
    <row r="17" spans="1:16" ht="15.75" x14ac:dyDescent="0.2">
      <c r="A17" s="114">
        <f>IF(G17&lt;&gt;"",1+MAX($A$6:A16),"")</f>
        <v>6</v>
      </c>
      <c r="B17" s="115" t="s">
        <v>108</v>
      </c>
      <c r="C17" s="13"/>
      <c r="D17" s="12"/>
      <c r="E17" s="57" t="s">
        <v>26</v>
      </c>
      <c r="F17" s="119" t="s">
        <v>13</v>
      </c>
      <c r="G17" s="58">
        <f>(6*6*1/27)*38</f>
        <v>50.666666666666664</v>
      </c>
      <c r="H17" s="6">
        <v>7.0000000000000007E-2</v>
      </c>
      <c r="I17" s="16">
        <f t="shared" ref="I17:I21" si="2">G17*(1+H17)</f>
        <v>54.213333333333331</v>
      </c>
      <c r="J17" s="21">
        <v>0</v>
      </c>
      <c r="K17" s="21">
        <v>0</v>
      </c>
      <c r="L17" s="112">
        <f>J17*I17</f>
        <v>0</v>
      </c>
      <c r="M17" s="112">
        <f>K17*I17</f>
        <v>0</v>
      </c>
      <c r="N17" s="22">
        <f t="shared" ref="N17:N21" si="3">L17+M17</f>
        <v>0</v>
      </c>
      <c r="O17" s="19"/>
    </row>
    <row r="18" spans="1:16" ht="15.75" x14ac:dyDescent="0.2">
      <c r="A18" s="114">
        <f>IF(G18&lt;&gt;"",1+MAX($A$6:A17),"")</f>
        <v>7</v>
      </c>
      <c r="B18" s="115" t="s">
        <v>108</v>
      </c>
      <c r="C18" s="180"/>
      <c r="D18" s="181" t="s">
        <v>86</v>
      </c>
      <c r="E18" s="23" t="s">
        <v>109</v>
      </c>
      <c r="F18" s="119" t="s">
        <v>34</v>
      </c>
      <c r="G18" s="11">
        <f>5.5*6*4*38*0.668</f>
        <v>3350.6880000000001</v>
      </c>
      <c r="H18" s="6">
        <v>7.0000000000000007E-2</v>
      </c>
      <c r="I18" s="16">
        <f t="shared" si="2"/>
        <v>3585.2361600000004</v>
      </c>
      <c r="J18" s="21">
        <v>0</v>
      </c>
      <c r="K18" s="21">
        <v>0</v>
      </c>
      <c r="L18" s="112">
        <f>J18*I18</f>
        <v>0</v>
      </c>
      <c r="M18" s="112">
        <f>K18*I18</f>
        <v>0</v>
      </c>
      <c r="N18" s="22">
        <f t="shared" si="3"/>
        <v>0</v>
      </c>
      <c r="O18" s="19"/>
      <c r="P18" s="59"/>
    </row>
    <row r="19" spans="1:16" ht="15.75" x14ac:dyDescent="0.2">
      <c r="A19" s="114">
        <f>IF(G19&lt;&gt;"",1+MAX($A$6:A18),"")</f>
        <v>8</v>
      </c>
      <c r="B19" s="115" t="s">
        <v>108</v>
      </c>
      <c r="C19" s="13"/>
      <c r="D19" s="12"/>
      <c r="E19" s="23" t="s">
        <v>15</v>
      </c>
      <c r="F19" s="119" t="s">
        <v>16</v>
      </c>
      <c r="G19" s="58">
        <f>6*4*1*38</f>
        <v>912</v>
      </c>
      <c r="H19" s="60">
        <v>7.0000000000000007E-2</v>
      </c>
      <c r="I19" s="16">
        <f t="shared" si="2"/>
        <v>975.84</v>
      </c>
      <c r="J19" s="21">
        <v>0</v>
      </c>
      <c r="K19" s="21">
        <v>0</v>
      </c>
      <c r="L19" s="112">
        <f>J19*I19</f>
        <v>0</v>
      </c>
      <c r="M19" s="112">
        <f>K19*I19</f>
        <v>0</v>
      </c>
      <c r="N19" s="22">
        <f t="shared" si="3"/>
        <v>0</v>
      </c>
      <c r="O19" s="19"/>
    </row>
    <row r="20" spans="1:16" ht="15.75" x14ac:dyDescent="0.2">
      <c r="A20" s="114">
        <f>IF(G20&lt;&gt;"",1+MAX($A$6:A19),"")</f>
        <v>9</v>
      </c>
      <c r="B20" s="115" t="s">
        <v>108</v>
      </c>
      <c r="C20" s="13"/>
      <c r="D20" s="12"/>
      <c r="E20" s="23" t="s">
        <v>18</v>
      </c>
      <c r="F20" s="119" t="s">
        <v>13</v>
      </c>
      <c r="G20" s="58">
        <f>6.5*6.5*2.5/27*38</f>
        <v>148.65740740740742</v>
      </c>
      <c r="H20" s="60">
        <v>7.0000000000000007E-2</v>
      </c>
      <c r="I20" s="16">
        <f t="shared" si="2"/>
        <v>159.06342592592594</v>
      </c>
      <c r="J20" s="21">
        <v>0</v>
      </c>
      <c r="K20" s="21">
        <v>0</v>
      </c>
      <c r="L20" s="112">
        <f>J20*I20</f>
        <v>0</v>
      </c>
      <c r="M20" s="112">
        <f>K20*I20</f>
        <v>0</v>
      </c>
      <c r="N20" s="22">
        <f t="shared" si="3"/>
        <v>0</v>
      </c>
      <c r="O20" s="19"/>
    </row>
    <row r="21" spans="1:16" ht="15.75" x14ac:dyDescent="0.2">
      <c r="A21" s="114">
        <f>IF(G21&lt;&gt;"",1+MAX($A$6:A20),"")</f>
        <v>10</v>
      </c>
      <c r="B21" s="115" t="s">
        <v>108</v>
      </c>
      <c r="C21" s="13"/>
      <c r="D21" s="12"/>
      <c r="E21" s="23" t="s">
        <v>17</v>
      </c>
      <c r="F21" s="119" t="s">
        <v>13</v>
      </c>
      <c r="G21" s="58">
        <f>G20-G17-(2.75*9*1.5*20/27)</f>
        <v>70.490740740740762</v>
      </c>
      <c r="H21" s="60">
        <v>7.0000000000000007E-2</v>
      </c>
      <c r="I21" s="16">
        <f t="shared" si="2"/>
        <v>75.42509259259262</v>
      </c>
      <c r="J21" s="21">
        <v>0</v>
      </c>
      <c r="K21" s="21">
        <v>0</v>
      </c>
      <c r="L21" s="112">
        <f>J21*I21</f>
        <v>0</v>
      </c>
      <c r="M21" s="112">
        <f>K21*I21</f>
        <v>0</v>
      </c>
      <c r="N21" s="22">
        <f t="shared" si="3"/>
        <v>0</v>
      </c>
      <c r="O21" s="19"/>
    </row>
    <row r="22" spans="1:16" ht="15.75" thickBot="1" x14ac:dyDescent="0.2">
      <c r="A22" s="114" t="str">
        <f>IF(G22&lt;&gt;"",1+MAX($A$6:A21),"")</f>
        <v/>
      </c>
      <c r="B22" s="115"/>
      <c r="C22" s="13"/>
      <c r="D22" s="12"/>
      <c r="E22" s="62"/>
      <c r="F22" s="119"/>
      <c r="G22" s="58"/>
      <c r="H22" s="60"/>
      <c r="I22" s="9"/>
      <c r="J22" s="24"/>
      <c r="K22" s="24"/>
      <c r="L22" s="24"/>
      <c r="M22" s="24"/>
      <c r="N22" s="22"/>
      <c r="O22" s="19"/>
    </row>
    <row r="23" spans="1:16" ht="15.75" thickBot="1" x14ac:dyDescent="0.2">
      <c r="A23" s="114" t="str">
        <f>IF(G23&lt;&gt;"",1+MAX($A$6:A22),"")</f>
        <v/>
      </c>
      <c r="B23" s="115"/>
      <c r="C23" s="50"/>
      <c r="D23" s="51"/>
      <c r="E23" s="259" t="s">
        <v>35</v>
      </c>
      <c r="F23" s="260"/>
      <c r="G23" s="261"/>
      <c r="H23" s="52"/>
      <c r="I23" s="53"/>
      <c r="J23" s="54"/>
      <c r="K23" s="54"/>
      <c r="L23" s="54"/>
      <c r="M23" s="54"/>
      <c r="N23" s="55"/>
      <c r="O23" s="19"/>
    </row>
    <row r="24" spans="1:16" ht="60" thickBot="1" x14ac:dyDescent="0.25">
      <c r="A24" s="114" t="str">
        <f>IF(G24&lt;&gt;"",1+MAX($A$6:A23),"")</f>
        <v/>
      </c>
      <c r="B24" s="115"/>
      <c r="C24" s="13"/>
      <c r="D24" s="13"/>
      <c r="E24" s="179" t="s">
        <v>112</v>
      </c>
      <c r="F24" s="191"/>
      <c r="G24" s="10"/>
      <c r="H24" s="15"/>
      <c r="I24" s="16"/>
      <c r="J24" s="17"/>
      <c r="K24" s="17"/>
      <c r="L24" s="17"/>
      <c r="M24" s="17"/>
      <c r="N24" s="18"/>
      <c r="O24" s="19"/>
    </row>
    <row r="25" spans="1:16" ht="15.75" x14ac:dyDescent="0.2">
      <c r="A25" s="114">
        <f>IF(G25&lt;&gt;"",1+MAX($A$6:A24),"")</f>
        <v>11</v>
      </c>
      <c r="B25" s="115" t="s">
        <v>108</v>
      </c>
      <c r="C25" s="13"/>
      <c r="D25" s="12"/>
      <c r="E25" s="57" t="s">
        <v>26</v>
      </c>
      <c r="F25" s="119" t="s">
        <v>13</v>
      </c>
      <c r="G25" s="11">
        <f>1.5*1*126/27</f>
        <v>7</v>
      </c>
      <c r="H25" s="6">
        <v>7.0000000000000007E-2</v>
      </c>
      <c r="I25" s="16">
        <f t="shared" ref="I25:I29" si="4">G25*(1+H25)</f>
        <v>7.49</v>
      </c>
      <c r="J25" s="21">
        <v>0</v>
      </c>
      <c r="K25" s="21">
        <v>0</v>
      </c>
      <c r="L25" s="112">
        <f>J25*I25</f>
        <v>0</v>
      </c>
      <c r="M25" s="112">
        <f>K25*I25</f>
        <v>0</v>
      </c>
      <c r="N25" s="22">
        <f t="shared" ref="N25:N29" si="5">L25+M25</f>
        <v>0</v>
      </c>
      <c r="O25" s="19"/>
    </row>
    <row r="26" spans="1:16" ht="15.75" x14ac:dyDescent="0.2">
      <c r="A26" s="114">
        <f>IF(G26&lt;&gt;"",1+MAX($A$6:A25),"")</f>
        <v>12</v>
      </c>
      <c r="B26" s="115" t="s">
        <v>108</v>
      </c>
      <c r="C26" s="180"/>
      <c r="D26" s="181" t="s">
        <v>86</v>
      </c>
      <c r="E26" s="23" t="s">
        <v>113</v>
      </c>
      <c r="F26" s="119" t="s">
        <v>34</v>
      </c>
      <c r="G26" s="11">
        <f>2*126*0.668</f>
        <v>168.33600000000001</v>
      </c>
      <c r="H26" s="6">
        <v>7.0000000000000007E-2</v>
      </c>
      <c r="I26" s="16">
        <f t="shared" si="4"/>
        <v>180.11952000000002</v>
      </c>
      <c r="J26" s="21">
        <v>0</v>
      </c>
      <c r="K26" s="21">
        <v>0</v>
      </c>
      <c r="L26" s="112">
        <f>J26*I26</f>
        <v>0</v>
      </c>
      <c r="M26" s="112">
        <f>K26*I26</f>
        <v>0</v>
      </c>
      <c r="N26" s="22">
        <f t="shared" si="5"/>
        <v>0</v>
      </c>
      <c r="O26" s="61"/>
    </row>
    <row r="27" spans="1:16" ht="15.75" x14ac:dyDescent="0.2">
      <c r="A27" s="114">
        <f>IF(G27&lt;&gt;"",1+MAX($A$6:A26),"")</f>
        <v>13</v>
      </c>
      <c r="B27" s="115" t="s">
        <v>108</v>
      </c>
      <c r="C27" s="13"/>
      <c r="D27" s="12"/>
      <c r="E27" s="23" t="s">
        <v>15</v>
      </c>
      <c r="F27" s="119" t="s">
        <v>16</v>
      </c>
      <c r="G27" s="11">
        <f>126*1*2</f>
        <v>252</v>
      </c>
      <c r="H27" s="6">
        <v>7.0000000000000007E-2</v>
      </c>
      <c r="I27" s="16">
        <f t="shared" si="4"/>
        <v>269.64000000000004</v>
      </c>
      <c r="J27" s="21">
        <v>0</v>
      </c>
      <c r="K27" s="21">
        <v>0</v>
      </c>
      <c r="L27" s="112">
        <f>J27*I27</f>
        <v>0</v>
      </c>
      <c r="M27" s="112">
        <f>K27*I27</f>
        <v>0</v>
      </c>
      <c r="N27" s="22">
        <f t="shared" si="5"/>
        <v>0</v>
      </c>
      <c r="O27" s="19"/>
    </row>
    <row r="28" spans="1:16" ht="15.75" x14ac:dyDescent="0.2">
      <c r="A28" s="114">
        <f>IF(G28&lt;&gt;"",1+MAX($A$6:A27),"")</f>
        <v>14</v>
      </c>
      <c r="B28" s="115" t="s">
        <v>108</v>
      </c>
      <c r="C28" s="13"/>
      <c r="D28" s="12"/>
      <c r="E28" s="23" t="s">
        <v>18</v>
      </c>
      <c r="F28" s="119" t="s">
        <v>13</v>
      </c>
      <c r="G28" s="11">
        <f>126*2*1/27</f>
        <v>9.3333333333333339</v>
      </c>
      <c r="H28" s="60">
        <v>7.0000000000000007E-2</v>
      </c>
      <c r="I28" s="16">
        <f t="shared" si="4"/>
        <v>9.9866666666666681</v>
      </c>
      <c r="J28" s="21">
        <v>0</v>
      </c>
      <c r="K28" s="21">
        <v>0</v>
      </c>
      <c r="L28" s="112">
        <f>J28*I28</f>
        <v>0</v>
      </c>
      <c r="M28" s="112">
        <f>K28*I28</f>
        <v>0</v>
      </c>
      <c r="N28" s="22">
        <f t="shared" si="5"/>
        <v>0</v>
      </c>
      <c r="O28" s="19"/>
    </row>
    <row r="29" spans="1:16" ht="15.75" x14ac:dyDescent="0.2">
      <c r="A29" s="114">
        <f>IF(G29&lt;&gt;"",1+MAX($A$6:A28),"")</f>
        <v>15</v>
      </c>
      <c r="B29" s="115" t="s">
        <v>108</v>
      </c>
      <c r="C29" s="13"/>
      <c r="D29" s="12"/>
      <c r="E29" s="23" t="s">
        <v>17</v>
      </c>
      <c r="F29" s="119" t="s">
        <v>13</v>
      </c>
      <c r="G29" s="11">
        <f>G28-G25</f>
        <v>2.3333333333333339</v>
      </c>
      <c r="H29" s="60">
        <v>7.0000000000000007E-2</v>
      </c>
      <c r="I29" s="16">
        <f t="shared" si="4"/>
        <v>2.4966666666666675</v>
      </c>
      <c r="J29" s="21">
        <v>0</v>
      </c>
      <c r="K29" s="21">
        <v>0</v>
      </c>
      <c r="L29" s="112">
        <f>J29*I29</f>
        <v>0</v>
      </c>
      <c r="M29" s="112">
        <f>K29*I29</f>
        <v>0</v>
      </c>
      <c r="N29" s="22">
        <f t="shared" si="5"/>
        <v>0</v>
      </c>
      <c r="O29" s="19"/>
    </row>
    <row r="30" spans="1:16" ht="15.75" thickBot="1" x14ac:dyDescent="0.2">
      <c r="A30" s="114" t="str">
        <f>IF(G30&lt;&gt;"",1+MAX($A$6:A29),"")</f>
        <v/>
      </c>
      <c r="B30" s="115"/>
      <c r="C30" s="13"/>
      <c r="D30" s="12"/>
      <c r="E30" s="62"/>
      <c r="F30" s="119"/>
      <c r="G30" s="11"/>
      <c r="H30" s="60"/>
      <c r="I30" s="9"/>
      <c r="J30" s="24"/>
      <c r="K30" s="24"/>
      <c r="L30" s="24"/>
      <c r="M30" s="24"/>
      <c r="N30" s="22"/>
      <c r="O30" s="19"/>
    </row>
    <row r="31" spans="1:16" ht="60" thickBot="1" x14ac:dyDescent="0.25">
      <c r="A31" s="114" t="str">
        <f>IF(G31&lt;&gt;"",1+MAX($A$6:A30),"")</f>
        <v/>
      </c>
      <c r="B31" s="115"/>
      <c r="C31" s="13"/>
      <c r="D31" s="13"/>
      <c r="E31" s="14" t="s">
        <v>114</v>
      </c>
      <c r="F31" s="119"/>
      <c r="G31" s="10"/>
      <c r="H31" s="15"/>
      <c r="I31" s="16"/>
      <c r="J31" s="17"/>
      <c r="K31" s="17"/>
      <c r="L31" s="17"/>
      <c r="M31" s="17"/>
      <c r="N31" s="18"/>
      <c r="O31" s="19"/>
    </row>
    <row r="32" spans="1:16" ht="15.75" x14ac:dyDescent="0.2">
      <c r="A32" s="114">
        <f>IF(G32&lt;&gt;"",1+MAX($A$6:A31),"")</f>
        <v>16</v>
      </c>
      <c r="B32" s="115" t="s">
        <v>108</v>
      </c>
      <c r="C32" s="13"/>
      <c r="D32" s="12"/>
      <c r="E32" s="57" t="s">
        <v>26</v>
      </c>
      <c r="F32" s="119" t="s">
        <v>13</v>
      </c>
      <c r="G32" s="11">
        <f>1055*3*1/27</f>
        <v>117.22222222222223</v>
      </c>
      <c r="H32" s="6">
        <v>7.0000000000000007E-2</v>
      </c>
      <c r="I32" s="16">
        <f t="shared" ref="I32:I36" si="6">G32*(1+H32)</f>
        <v>125.42777777777779</v>
      </c>
      <c r="J32" s="21">
        <v>0</v>
      </c>
      <c r="K32" s="21">
        <v>0</v>
      </c>
      <c r="L32" s="112">
        <f t="shared" ref="L32:L36" si="7">J32*I32</f>
        <v>0</v>
      </c>
      <c r="M32" s="112">
        <f t="shared" ref="M32:M36" si="8">K32*I32</f>
        <v>0</v>
      </c>
      <c r="N32" s="22">
        <f t="shared" ref="N32:N36" si="9">L32+M32</f>
        <v>0</v>
      </c>
      <c r="O32" s="19"/>
    </row>
    <row r="33" spans="1:18" ht="15.75" x14ac:dyDescent="0.2">
      <c r="A33" s="114">
        <f>IF(G33&lt;&gt;"",1+MAX($A$6:A32),"")</f>
        <v>17</v>
      </c>
      <c r="B33" s="115" t="s">
        <v>108</v>
      </c>
      <c r="C33" s="180"/>
      <c r="D33" s="181" t="s">
        <v>86</v>
      </c>
      <c r="E33" s="23" t="s">
        <v>87</v>
      </c>
      <c r="F33" s="119" t="s">
        <v>34</v>
      </c>
      <c r="G33" s="11">
        <f>3*1055*0.668</f>
        <v>2114.2200000000003</v>
      </c>
      <c r="H33" s="6">
        <v>7.0000000000000007E-2</v>
      </c>
      <c r="I33" s="16">
        <f t="shared" si="6"/>
        <v>2262.2154000000005</v>
      </c>
      <c r="J33" s="21">
        <v>0</v>
      </c>
      <c r="K33" s="21">
        <v>0</v>
      </c>
      <c r="L33" s="112">
        <f t="shared" si="7"/>
        <v>0</v>
      </c>
      <c r="M33" s="112">
        <f t="shared" si="8"/>
        <v>0</v>
      </c>
      <c r="N33" s="22">
        <f t="shared" si="9"/>
        <v>0</v>
      </c>
      <c r="O33" s="61"/>
    </row>
    <row r="34" spans="1:18" ht="15.75" x14ac:dyDescent="0.2">
      <c r="A34" s="114">
        <f>IF(G34&lt;&gt;"",1+MAX($A$6:A33),"")</f>
        <v>18</v>
      </c>
      <c r="B34" s="115" t="s">
        <v>108</v>
      </c>
      <c r="C34" s="13"/>
      <c r="D34" s="12"/>
      <c r="E34" s="23" t="s">
        <v>15</v>
      </c>
      <c r="F34" s="119" t="s">
        <v>16</v>
      </c>
      <c r="G34" s="11">
        <f>1055*1*2</f>
        <v>2110</v>
      </c>
      <c r="H34" s="6">
        <v>7.0000000000000007E-2</v>
      </c>
      <c r="I34" s="16">
        <f t="shared" si="6"/>
        <v>2257.7000000000003</v>
      </c>
      <c r="J34" s="21">
        <v>0</v>
      </c>
      <c r="K34" s="21">
        <v>0</v>
      </c>
      <c r="L34" s="112">
        <f t="shared" si="7"/>
        <v>0</v>
      </c>
      <c r="M34" s="112">
        <f t="shared" si="8"/>
        <v>0</v>
      </c>
      <c r="N34" s="22">
        <f t="shared" si="9"/>
        <v>0</v>
      </c>
      <c r="O34" s="19"/>
    </row>
    <row r="35" spans="1:18" ht="15.75" x14ac:dyDescent="0.2">
      <c r="A35" s="114">
        <f>IF(G35&lt;&gt;"",1+MAX($A$6:A34),"")</f>
        <v>19</v>
      </c>
      <c r="B35" s="115" t="s">
        <v>108</v>
      </c>
      <c r="C35" s="13"/>
      <c r="D35" s="12"/>
      <c r="E35" s="23" t="s">
        <v>18</v>
      </c>
      <c r="F35" s="119" t="s">
        <v>13</v>
      </c>
      <c r="G35" s="11">
        <f>1055*4*1/27</f>
        <v>156.2962962962963</v>
      </c>
      <c r="H35" s="60">
        <v>7.0000000000000007E-2</v>
      </c>
      <c r="I35" s="16">
        <f t="shared" si="6"/>
        <v>167.23703703703706</v>
      </c>
      <c r="J35" s="21">
        <v>0</v>
      </c>
      <c r="K35" s="21">
        <v>0</v>
      </c>
      <c r="L35" s="112">
        <f t="shared" si="7"/>
        <v>0</v>
      </c>
      <c r="M35" s="112">
        <f t="shared" si="8"/>
        <v>0</v>
      </c>
      <c r="N35" s="22">
        <f t="shared" si="9"/>
        <v>0</v>
      </c>
      <c r="O35" s="19"/>
    </row>
    <row r="36" spans="1:18" ht="15.75" x14ac:dyDescent="0.2">
      <c r="A36" s="114">
        <f>IF(G36&lt;&gt;"",1+MAX($A$6:A35),"")</f>
        <v>20</v>
      </c>
      <c r="B36" s="115" t="s">
        <v>108</v>
      </c>
      <c r="C36" s="13"/>
      <c r="D36" s="12"/>
      <c r="E36" s="23" t="s">
        <v>17</v>
      </c>
      <c r="F36" s="119" t="s">
        <v>13</v>
      </c>
      <c r="G36" s="11">
        <f>G35-G32</f>
        <v>39.074074074074076</v>
      </c>
      <c r="H36" s="60">
        <v>7.0000000000000007E-2</v>
      </c>
      <c r="I36" s="16">
        <f t="shared" si="6"/>
        <v>41.809259259259264</v>
      </c>
      <c r="J36" s="21">
        <v>0</v>
      </c>
      <c r="K36" s="21">
        <v>0</v>
      </c>
      <c r="L36" s="112">
        <f t="shared" si="7"/>
        <v>0</v>
      </c>
      <c r="M36" s="112">
        <f t="shared" si="8"/>
        <v>0</v>
      </c>
      <c r="N36" s="22">
        <f t="shared" si="9"/>
        <v>0</v>
      </c>
      <c r="O36" s="19"/>
    </row>
    <row r="37" spans="1:18" ht="15.75" thickBot="1" x14ac:dyDescent="0.2">
      <c r="A37" s="114" t="str">
        <f>IF(G37&lt;&gt;"",1+MAX($A$6:A36),"")</f>
        <v/>
      </c>
      <c r="B37" s="115"/>
      <c r="C37" s="13"/>
      <c r="D37" s="12"/>
      <c r="E37" s="62"/>
      <c r="F37" s="192"/>
      <c r="G37" s="63"/>
      <c r="H37" s="60"/>
      <c r="I37" s="9"/>
      <c r="J37" s="24"/>
      <c r="K37" s="24"/>
      <c r="L37" s="24"/>
      <c r="M37" s="24"/>
      <c r="N37" s="22"/>
      <c r="O37" s="19"/>
    </row>
    <row r="38" spans="1:18" ht="15.75" thickBot="1" x14ac:dyDescent="0.2">
      <c r="A38" s="114" t="str">
        <f>IF(G38&lt;&gt;"",1+MAX($A$6:A37),"")</f>
        <v/>
      </c>
      <c r="B38" s="115"/>
      <c r="C38" s="50"/>
      <c r="D38" s="51"/>
      <c r="E38" s="259" t="s">
        <v>88</v>
      </c>
      <c r="F38" s="260"/>
      <c r="G38" s="261"/>
      <c r="H38" s="52"/>
      <c r="I38" s="53"/>
      <c r="J38" s="54"/>
      <c r="K38" s="54"/>
      <c r="L38" s="54"/>
      <c r="M38" s="54"/>
      <c r="N38" s="55"/>
      <c r="O38" s="19"/>
    </row>
    <row r="39" spans="1:18" ht="60" thickBot="1" x14ac:dyDescent="0.25">
      <c r="A39" s="114" t="str">
        <f>IF(G39&lt;&gt;"",1+MAX($A$6:A38),"")</f>
        <v/>
      </c>
      <c r="B39" s="115"/>
      <c r="C39" s="13"/>
      <c r="D39" s="13"/>
      <c r="E39" s="179" t="s">
        <v>118</v>
      </c>
      <c r="F39" s="191"/>
      <c r="G39" s="10"/>
      <c r="H39" s="15"/>
      <c r="I39" s="16"/>
      <c r="J39" s="17"/>
      <c r="K39" s="17"/>
      <c r="L39" s="17"/>
      <c r="M39" s="17"/>
      <c r="N39" s="18"/>
      <c r="O39" s="19"/>
    </row>
    <row r="40" spans="1:18" ht="15.75" x14ac:dyDescent="0.2">
      <c r="A40" s="114">
        <f>IF(G40&lt;&gt;"",1+MAX($A$6:A39),"")</f>
        <v>21</v>
      </c>
      <c r="B40" s="115" t="s">
        <v>108</v>
      </c>
      <c r="C40" s="13" t="s">
        <v>115</v>
      </c>
      <c r="D40" s="12"/>
      <c r="E40" s="57" t="s">
        <v>26</v>
      </c>
      <c r="F40" s="119" t="s">
        <v>13</v>
      </c>
      <c r="G40" s="11">
        <f>0.83*9.25*100/27</f>
        <v>28.43518518518518</v>
      </c>
      <c r="H40" s="6">
        <v>7.0000000000000007E-2</v>
      </c>
      <c r="I40" s="16">
        <f t="shared" ref="I40:I42" si="10">G40*(1+H40)</f>
        <v>30.425648148148145</v>
      </c>
      <c r="J40" s="21">
        <v>0</v>
      </c>
      <c r="K40" s="21">
        <v>0</v>
      </c>
      <c r="L40" s="112">
        <f>J40*I40</f>
        <v>0</v>
      </c>
      <c r="M40" s="112">
        <f>K40*I40</f>
        <v>0</v>
      </c>
      <c r="N40" s="22">
        <f t="shared" ref="N40:N42" si="11">L40+M40</f>
        <v>0</v>
      </c>
      <c r="O40" s="19"/>
    </row>
    <row r="41" spans="1:18" ht="15.75" x14ac:dyDescent="0.2">
      <c r="A41" s="114">
        <f>IF(G41&lt;&gt;"",1+MAX($A$6:A40),"")</f>
        <v>22</v>
      </c>
      <c r="B41" s="115" t="s">
        <v>108</v>
      </c>
      <c r="C41" s="13" t="s">
        <v>115</v>
      </c>
      <c r="D41" s="65"/>
      <c r="E41" s="23" t="s">
        <v>119</v>
      </c>
      <c r="F41" s="119" t="s">
        <v>34</v>
      </c>
      <c r="G41" s="11">
        <f>(10*100*4*1.502)</f>
        <v>6008</v>
      </c>
      <c r="H41" s="6">
        <v>7.0000000000000007E-2</v>
      </c>
      <c r="I41" s="16">
        <f t="shared" si="10"/>
        <v>6428.56</v>
      </c>
      <c r="J41" s="21">
        <v>0</v>
      </c>
      <c r="K41" s="21">
        <v>0</v>
      </c>
      <c r="L41" s="112">
        <f>J41*I41</f>
        <v>0</v>
      </c>
      <c r="M41" s="112">
        <f>K41*I41</f>
        <v>0</v>
      </c>
      <c r="N41" s="22">
        <f t="shared" si="11"/>
        <v>0</v>
      </c>
      <c r="O41" s="61"/>
    </row>
    <row r="42" spans="1:18" ht="15.75" x14ac:dyDescent="0.2">
      <c r="A42" s="114">
        <f>IF(G42&lt;&gt;"",1+MAX($A$6:A41),"")</f>
        <v>23</v>
      </c>
      <c r="B42" s="115" t="s">
        <v>108</v>
      </c>
      <c r="C42" s="13" t="s">
        <v>115</v>
      </c>
      <c r="D42" s="12"/>
      <c r="E42" s="23" t="s">
        <v>15</v>
      </c>
      <c r="F42" s="119" t="s">
        <v>16</v>
      </c>
      <c r="G42" s="11">
        <f>100*9.25*2</f>
        <v>1850</v>
      </c>
      <c r="H42" s="6">
        <v>7.0000000000000007E-2</v>
      </c>
      <c r="I42" s="16">
        <f t="shared" si="10"/>
        <v>1979.5000000000002</v>
      </c>
      <c r="J42" s="21">
        <v>0</v>
      </c>
      <c r="K42" s="21">
        <v>0</v>
      </c>
      <c r="L42" s="112">
        <f>J42*I42</f>
        <v>0</v>
      </c>
      <c r="M42" s="112">
        <f>K42*I42</f>
        <v>0</v>
      </c>
      <c r="N42" s="22">
        <f t="shared" si="11"/>
        <v>0</v>
      </c>
      <c r="O42" s="19"/>
    </row>
    <row r="43" spans="1:18" ht="15.75" thickBot="1" x14ac:dyDescent="0.2">
      <c r="A43" s="114" t="str">
        <f>IF(G43&lt;&gt;"",1+MAX($A$6:A42),"")</f>
        <v/>
      </c>
      <c r="B43" s="115"/>
      <c r="C43" s="13"/>
      <c r="D43" s="12"/>
      <c r="E43" s="23"/>
      <c r="F43" s="119"/>
      <c r="G43" s="11"/>
      <c r="H43" s="60"/>
      <c r="I43" s="16"/>
      <c r="J43" s="112"/>
      <c r="K43" s="112"/>
      <c r="L43" s="112"/>
      <c r="M43" s="112"/>
      <c r="N43" s="22"/>
      <c r="O43" s="19"/>
    </row>
    <row r="44" spans="1:18" ht="15.75" thickBot="1" x14ac:dyDescent="0.2">
      <c r="A44" s="114" t="str">
        <f>IF(G44&lt;&gt;"",1+MAX($A$6:A43),"")</f>
        <v/>
      </c>
      <c r="B44" s="125"/>
      <c r="C44" s="50"/>
      <c r="D44" s="51"/>
      <c r="E44" s="259" t="s">
        <v>31</v>
      </c>
      <c r="F44" s="260"/>
      <c r="G44" s="261"/>
      <c r="H44" s="52"/>
      <c r="I44" s="16"/>
      <c r="J44" s="17"/>
      <c r="K44" s="17"/>
      <c r="L44" s="17"/>
      <c r="M44" s="17"/>
      <c r="N44" s="55"/>
      <c r="O44" s="19"/>
    </row>
    <row r="45" spans="1:18" ht="16.5" thickBot="1" x14ac:dyDescent="0.25">
      <c r="A45" s="114" t="str">
        <f>IF(G45&lt;&gt;"",1+MAX($A$6:A44),"")</f>
        <v/>
      </c>
      <c r="B45" s="115"/>
      <c r="C45" s="13"/>
      <c r="D45" s="13"/>
      <c r="E45" s="179" t="s">
        <v>27</v>
      </c>
      <c r="F45" s="191"/>
      <c r="G45" s="56"/>
      <c r="H45" s="15"/>
      <c r="I45" s="16"/>
      <c r="J45" s="24"/>
      <c r="K45" s="24"/>
      <c r="L45" s="24"/>
      <c r="M45" s="24"/>
      <c r="N45" s="22"/>
      <c r="O45" s="19"/>
    </row>
    <row r="46" spans="1:18" s="121" customFormat="1" ht="15.75" x14ac:dyDescent="0.2">
      <c r="A46" s="114">
        <f>IF(G46&lt;&gt;"",1+MAX($A$6:A45),"")</f>
        <v>24</v>
      </c>
      <c r="B46" s="115" t="s">
        <v>108</v>
      </c>
      <c r="C46" s="116"/>
      <c r="D46" s="132"/>
      <c r="E46" s="135" t="s">
        <v>124</v>
      </c>
      <c r="F46" s="119" t="s">
        <v>13</v>
      </c>
      <c r="G46" s="136">
        <f>(40735*0.42)/27+(1*1*1000)/27</f>
        <v>670.69259259259263</v>
      </c>
      <c r="H46" s="133">
        <v>7.0000000000000007E-2</v>
      </c>
      <c r="I46" s="118">
        <f t="shared" ref="I46:I50" si="12">G46*(1+H46)</f>
        <v>717.64107407407414</v>
      </c>
      <c r="J46" s="21">
        <v>0</v>
      </c>
      <c r="K46" s="21">
        <v>0</v>
      </c>
      <c r="L46" s="112">
        <f t="shared" ref="L46:L51" si="13">J46*I46</f>
        <v>0</v>
      </c>
      <c r="M46" s="112">
        <f t="shared" ref="M46:M51" si="14">K46*I46</f>
        <v>0</v>
      </c>
      <c r="N46" s="22">
        <f t="shared" ref="N46:N49" si="15">L46+M46</f>
        <v>0</v>
      </c>
      <c r="O46" s="120"/>
      <c r="P46" s="134"/>
      <c r="Q46" s="134"/>
      <c r="R46" s="134"/>
    </row>
    <row r="47" spans="1:18" ht="15.75" x14ac:dyDescent="0.2">
      <c r="A47" s="114">
        <f>IF(G47&lt;&gt;"",1+MAX($A$6:A46),"")</f>
        <v>25</v>
      </c>
      <c r="B47" s="115" t="s">
        <v>108</v>
      </c>
      <c r="C47" s="13" t="s">
        <v>127</v>
      </c>
      <c r="D47" s="181" t="s">
        <v>86</v>
      </c>
      <c r="E47" s="23" t="s">
        <v>122</v>
      </c>
      <c r="F47" s="119" t="s">
        <v>34</v>
      </c>
      <c r="G47" s="11">
        <v>82438</v>
      </c>
      <c r="H47" s="6">
        <v>7.0000000000000007E-2</v>
      </c>
      <c r="I47" s="16">
        <f t="shared" si="12"/>
        <v>88208.66</v>
      </c>
      <c r="J47" s="21">
        <v>0</v>
      </c>
      <c r="K47" s="21">
        <v>0</v>
      </c>
      <c r="L47" s="112">
        <f t="shared" si="13"/>
        <v>0</v>
      </c>
      <c r="M47" s="112">
        <f t="shared" si="14"/>
        <v>0</v>
      </c>
      <c r="N47" s="22">
        <f t="shared" si="15"/>
        <v>0</v>
      </c>
      <c r="O47" s="61"/>
    </row>
    <row r="48" spans="1:18" ht="15.75" x14ac:dyDescent="0.2">
      <c r="A48" s="114">
        <f>IF(G48&lt;&gt;"",1+MAX($A$6:A47),"")</f>
        <v>26</v>
      </c>
      <c r="B48" s="115" t="s">
        <v>108</v>
      </c>
      <c r="C48" s="13" t="s">
        <v>127</v>
      </c>
      <c r="D48" s="65"/>
      <c r="E48" s="23" t="s">
        <v>121</v>
      </c>
      <c r="F48" s="119" t="s">
        <v>34</v>
      </c>
      <c r="G48" s="11">
        <f>(2*1000*1.043)</f>
        <v>2086</v>
      </c>
      <c r="H48" s="6">
        <v>7.0000000000000007E-2</v>
      </c>
      <c r="I48" s="16">
        <f t="shared" ref="I48" si="16">G48*(1+H48)</f>
        <v>2232.02</v>
      </c>
      <c r="J48" s="21">
        <v>0</v>
      </c>
      <c r="K48" s="21">
        <v>0</v>
      </c>
      <c r="L48" s="112">
        <f t="shared" si="13"/>
        <v>0</v>
      </c>
      <c r="M48" s="112">
        <f t="shared" si="14"/>
        <v>0</v>
      </c>
      <c r="N48" s="22">
        <f t="shared" ref="N48" si="17">L48+M48</f>
        <v>0</v>
      </c>
      <c r="O48" s="61"/>
    </row>
    <row r="49" spans="1:18" ht="15.75" x14ac:dyDescent="0.2">
      <c r="A49" s="114">
        <f>IF(G49&lt;&gt;"",1+MAX($A$6:A48),"")</f>
        <v>27</v>
      </c>
      <c r="B49" s="115" t="s">
        <v>108</v>
      </c>
      <c r="C49" s="116"/>
      <c r="D49" s="67"/>
      <c r="E49" s="66" t="s">
        <v>28</v>
      </c>
      <c r="F49" s="119" t="s">
        <v>12</v>
      </c>
      <c r="G49" s="136">
        <v>40735</v>
      </c>
      <c r="H49" s="6">
        <v>7.0000000000000007E-2</v>
      </c>
      <c r="I49" s="16">
        <f t="shared" si="12"/>
        <v>43586.450000000004</v>
      </c>
      <c r="J49" s="21">
        <v>0</v>
      </c>
      <c r="K49" s="21">
        <v>0</v>
      </c>
      <c r="L49" s="112">
        <f t="shared" si="13"/>
        <v>0</v>
      </c>
      <c r="M49" s="112">
        <f t="shared" si="14"/>
        <v>0</v>
      </c>
      <c r="N49" s="22">
        <f t="shared" si="15"/>
        <v>0</v>
      </c>
      <c r="O49" s="19"/>
    </row>
    <row r="50" spans="1:18" ht="15.75" x14ac:dyDescent="0.2">
      <c r="A50" s="114">
        <f>IF(G50&lt;&gt;"",1+MAX($A$6:A49),"")</f>
        <v>28</v>
      </c>
      <c r="B50" s="115" t="s">
        <v>108</v>
      </c>
      <c r="C50" s="116"/>
      <c r="D50" s="68"/>
      <c r="E50" s="66" t="s">
        <v>29</v>
      </c>
      <c r="F50" s="119" t="s">
        <v>13</v>
      </c>
      <c r="G50" s="11">
        <f>(40735*0.5)/27</f>
        <v>754.35185185185185</v>
      </c>
      <c r="H50" s="6">
        <v>7.0000000000000007E-2</v>
      </c>
      <c r="I50" s="16">
        <f t="shared" si="12"/>
        <v>807.15648148148148</v>
      </c>
      <c r="J50" s="21">
        <v>0</v>
      </c>
      <c r="K50" s="21">
        <v>0</v>
      </c>
      <c r="L50" s="112">
        <f t="shared" si="13"/>
        <v>0</v>
      </c>
      <c r="M50" s="112">
        <f t="shared" si="14"/>
        <v>0</v>
      </c>
      <c r="N50" s="22">
        <f>L50+M50</f>
        <v>0</v>
      </c>
      <c r="O50" s="19"/>
    </row>
    <row r="51" spans="1:18" ht="15.75" x14ac:dyDescent="0.2">
      <c r="A51" s="114">
        <f>IF(G51&lt;&gt;"",1+MAX($A$6:A50),"")</f>
        <v>29</v>
      </c>
      <c r="B51" s="115" t="s">
        <v>108</v>
      </c>
      <c r="C51" s="116"/>
      <c r="D51" s="68"/>
      <c r="E51" s="66" t="s">
        <v>132</v>
      </c>
      <c r="F51" s="119" t="s">
        <v>13</v>
      </c>
      <c r="G51" s="11">
        <f>(40735*1)/27</f>
        <v>1508.7037037037037</v>
      </c>
      <c r="H51" s="6">
        <v>7.0000000000000007E-2</v>
      </c>
      <c r="I51" s="16">
        <f t="shared" ref="I51" si="18">G51*(1+H51)</f>
        <v>1614.312962962963</v>
      </c>
      <c r="J51" s="21">
        <v>0</v>
      </c>
      <c r="K51" s="21">
        <v>0</v>
      </c>
      <c r="L51" s="112">
        <f t="shared" si="13"/>
        <v>0</v>
      </c>
      <c r="M51" s="112">
        <f t="shared" si="14"/>
        <v>0</v>
      </c>
      <c r="N51" s="22">
        <f>L51+M51</f>
        <v>0</v>
      </c>
      <c r="O51" s="19"/>
    </row>
    <row r="52" spans="1:18" ht="15.75" thickBot="1" x14ac:dyDescent="0.2">
      <c r="A52" s="114" t="str">
        <f>IF(G52&lt;&gt;"",1+MAX($A$6:A51),"")</f>
        <v/>
      </c>
      <c r="B52" s="115"/>
      <c r="C52" s="116"/>
      <c r="D52" s="68"/>
      <c r="E52" s="66"/>
      <c r="F52" s="119"/>
      <c r="G52" s="11"/>
      <c r="H52" s="6"/>
      <c r="I52" s="16"/>
      <c r="J52" s="21"/>
      <c r="K52" s="21"/>
      <c r="L52" s="112"/>
      <c r="M52" s="112"/>
      <c r="N52" s="22"/>
      <c r="O52" s="19"/>
    </row>
    <row r="53" spans="1:18" ht="16.5" thickBot="1" x14ac:dyDescent="0.25">
      <c r="A53" s="114" t="str">
        <f>IF(G53&lt;&gt;"",1+MAX($A$6:A52),"")</f>
        <v/>
      </c>
      <c r="B53" s="115"/>
      <c r="C53" s="13"/>
      <c r="D53" s="13"/>
      <c r="E53" s="14" t="s">
        <v>128</v>
      </c>
      <c r="F53" s="191"/>
      <c r="G53" s="56"/>
      <c r="H53" s="15"/>
      <c r="I53" s="16"/>
      <c r="J53" s="24"/>
      <c r="K53" s="24"/>
      <c r="L53" s="24"/>
      <c r="M53" s="24"/>
      <c r="N53" s="22"/>
      <c r="O53" s="19"/>
    </row>
    <row r="54" spans="1:18" s="121" customFormat="1" ht="15.75" x14ac:dyDescent="0.2">
      <c r="A54" s="114">
        <f>IF(G54&lt;&gt;"",1+MAX($A$6:A53),"")</f>
        <v>30</v>
      </c>
      <c r="B54" s="115" t="s">
        <v>108</v>
      </c>
      <c r="C54" s="116"/>
      <c r="D54" s="132"/>
      <c r="E54" s="135" t="s">
        <v>129</v>
      </c>
      <c r="F54" s="119" t="s">
        <v>13</v>
      </c>
      <c r="G54" s="136">
        <f>(1*2.75*280)/27</f>
        <v>28.518518518518519</v>
      </c>
      <c r="H54" s="133">
        <v>7.0000000000000007E-2</v>
      </c>
      <c r="I54" s="118">
        <f t="shared" ref="I54:I55" si="19">G54*(1+H54)</f>
        <v>30.514814814814816</v>
      </c>
      <c r="J54" s="21">
        <v>0</v>
      </c>
      <c r="K54" s="21">
        <v>0</v>
      </c>
      <c r="L54" s="112">
        <f>J54*I54</f>
        <v>0</v>
      </c>
      <c r="M54" s="112">
        <f>K54*I54</f>
        <v>0</v>
      </c>
      <c r="N54" s="22">
        <f t="shared" ref="N54:N55" si="20">L54+M54</f>
        <v>0</v>
      </c>
      <c r="O54" s="120"/>
      <c r="P54" s="134"/>
      <c r="Q54" s="134"/>
      <c r="R54" s="134"/>
    </row>
    <row r="55" spans="1:18" ht="15.75" x14ac:dyDescent="0.2">
      <c r="A55" s="114">
        <f>IF(G55&lt;&gt;"",1+MAX($A$6:A54),"")</f>
        <v>31</v>
      </c>
      <c r="B55" s="115" t="s">
        <v>108</v>
      </c>
      <c r="C55" s="13" t="s">
        <v>126</v>
      </c>
      <c r="D55" s="181" t="s">
        <v>86</v>
      </c>
      <c r="E55" s="23" t="s">
        <v>130</v>
      </c>
      <c r="F55" s="119" t="s">
        <v>34</v>
      </c>
      <c r="G55" s="11">
        <f>3*280*1.043</f>
        <v>876.11999999999989</v>
      </c>
      <c r="H55" s="6">
        <v>7.0000000000000007E-2</v>
      </c>
      <c r="I55" s="16">
        <f t="shared" si="19"/>
        <v>937.44839999999999</v>
      </c>
      <c r="J55" s="21">
        <v>0</v>
      </c>
      <c r="K55" s="21">
        <v>0</v>
      </c>
      <c r="L55" s="112">
        <f>J55*I55</f>
        <v>0</v>
      </c>
      <c r="M55" s="112">
        <f>K55*I55</f>
        <v>0</v>
      </c>
      <c r="N55" s="22">
        <f t="shared" si="20"/>
        <v>0</v>
      </c>
      <c r="O55" s="61"/>
    </row>
    <row r="56" spans="1:18" ht="15.75" x14ac:dyDescent="0.2">
      <c r="A56" s="114">
        <f>IF(G56&lt;&gt;"",1+MAX($A$6:A55),"")</f>
        <v>32</v>
      </c>
      <c r="B56" s="115" t="s">
        <v>108</v>
      </c>
      <c r="C56" s="13" t="s">
        <v>126</v>
      </c>
      <c r="D56" s="181" t="s">
        <v>86</v>
      </c>
      <c r="E56" s="23" t="s">
        <v>131</v>
      </c>
      <c r="F56" s="119" t="s">
        <v>34</v>
      </c>
      <c r="G56" s="11">
        <f>280*1.5*1.043</f>
        <v>438.05999999999995</v>
      </c>
      <c r="H56" s="6">
        <v>7.0000000000000007E-2</v>
      </c>
      <c r="I56" s="16">
        <f t="shared" ref="I56" si="21">G56*(1+H56)</f>
        <v>468.7242</v>
      </c>
      <c r="J56" s="21">
        <v>0</v>
      </c>
      <c r="K56" s="21">
        <v>0</v>
      </c>
      <c r="L56" s="112">
        <f>J56*I56</f>
        <v>0</v>
      </c>
      <c r="M56" s="112">
        <f>K56*I56</f>
        <v>0</v>
      </c>
      <c r="N56" s="22">
        <f t="shared" ref="N56" si="22">L56+M56</f>
        <v>0</v>
      </c>
      <c r="O56" s="61"/>
    </row>
    <row r="57" spans="1:18" ht="15.75" thickBot="1" x14ac:dyDescent="0.2">
      <c r="A57" s="114" t="str">
        <f>IF(G57&lt;&gt;"",1+MAX($A$6:A56),"")</f>
        <v/>
      </c>
      <c r="B57" s="115"/>
      <c r="C57" s="13"/>
      <c r="D57" s="12"/>
      <c r="E57" s="66"/>
      <c r="F57" s="119"/>
      <c r="G57" s="11"/>
      <c r="H57" s="15"/>
      <c r="I57" s="16"/>
      <c r="J57" s="24"/>
      <c r="K57" s="24"/>
      <c r="L57" s="24"/>
      <c r="M57" s="24"/>
      <c r="N57" s="22"/>
      <c r="O57" s="19"/>
    </row>
    <row r="58" spans="1:18" ht="16.5" thickBot="1" x14ac:dyDescent="0.25">
      <c r="A58" s="114" t="str">
        <f>IF(G58&lt;&gt;"",1+MAX($A$6:A57),"")</f>
        <v/>
      </c>
      <c r="B58" s="115"/>
      <c r="C58" s="13"/>
      <c r="D58" s="13"/>
      <c r="E58" s="14" t="s">
        <v>123</v>
      </c>
      <c r="F58" s="191"/>
      <c r="G58" s="56"/>
      <c r="H58" s="15"/>
      <c r="I58" s="16"/>
      <c r="J58" s="24"/>
      <c r="K58" s="24"/>
      <c r="L58" s="24"/>
      <c r="M58" s="24"/>
      <c r="N58" s="22"/>
      <c r="O58" s="19"/>
    </row>
    <row r="59" spans="1:18" s="121" customFormat="1" ht="15.75" x14ac:dyDescent="0.2">
      <c r="A59" s="114">
        <f>IF(G59&lt;&gt;"",1+MAX($A$6:A58),"")</f>
        <v>33</v>
      </c>
      <c r="B59" s="115" t="s">
        <v>108</v>
      </c>
      <c r="C59" s="116"/>
      <c r="D59" s="132"/>
      <c r="E59" s="135" t="s">
        <v>125</v>
      </c>
      <c r="F59" s="119" t="s">
        <v>13</v>
      </c>
      <c r="G59" s="136">
        <f>(7660*2)/27</f>
        <v>567.40740740740739</v>
      </c>
      <c r="H59" s="133">
        <v>7.0000000000000007E-2</v>
      </c>
      <c r="I59" s="118">
        <f t="shared" ref="I59:I61" si="23">G59*(1+H59)</f>
        <v>607.12592592592591</v>
      </c>
      <c r="J59" s="21">
        <v>0</v>
      </c>
      <c r="K59" s="21">
        <v>0</v>
      </c>
      <c r="L59" s="112">
        <f>J59*I59</f>
        <v>0</v>
      </c>
      <c r="M59" s="112">
        <f>K59*I59</f>
        <v>0</v>
      </c>
      <c r="N59" s="22">
        <f t="shared" ref="N59:N60" si="24">L59+M59</f>
        <v>0</v>
      </c>
      <c r="O59" s="120"/>
      <c r="P59" s="134"/>
      <c r="Q59" s="134"/>
      <c r="R59" s="134"/>
    </row>
    <row r="60" spans="1:18" ht="15.75" x14ac:dyDescent="0.2">
      <c r="A60" s="114">
        <f>IF(G60&lt;&gt;"",1+MAX($A$6:A59),"")</f>
        <v>34</v>
      </c>
      <c r="B60" s="115" t="s">
        <v>108</v>
      </c>
      <c r="C60" s="116"/>
      <c r="D60" s="181" t="s">
        <v>86</v>
      </c>
      <c r="E60" s="240" t="s">
        <v>28</v>
      </c>
      <c r="F60" s="119" t="s">
        <v>12</v>
      </c>
      <c r="G60" s="136">
        <v>7660</v>
      </c>
      <c r="H60" s="6">
        <v>7.0000000000000007E-2</v>
      </c>
      <c r="I60" s="16">
        <f t="shared" si="23"/>
        <v>8196.2000000000007</v>
      </c>
      <c r="J60" s="21">
        <v>0</v>
      </c>
      <c r="K60" s="21">
        <v>0</v>
      </c>
      <c r="L60" s="112">
        <f>J60*I60</f>
        <v>0</v>
      </c>
      <c r="M60" s="112">
        <f>K60*I60</f>
        <v>0</v>
      </c>
      <c r="N60" s="22">
        <f t="shared" si="24"/>
        <v>0</v>
      </c>
      <c r="O60" s="19"/>
    </row>
    <row r="61" spans="1:18" ht="15.75" x14ac:dyDescent="0.2">
      <c r="A61" s="114">
        <f>IF(G61&lt;&gt;"",1+MAX($A$6:A60),"")</f>
        <v>35</v>
      </c>
      <c r="B61" s="115" t="s">
        <v>108</v>
      </c>
      <c r="C61" s="116"/>
      <c r="D61" s="68"/>
      <c r="E61" s="66" t="s">
        <v>132</v>
      </c>
      <c r="F61" s="119" t="s">
        <v>13</v>
      </c>
      <c r="G61" s="136">
        <f>(7660*2)/27</f>
        <v>567.40740740740739</v>
      </c>
      <c r="H61" s="6">
        <v>7.0000000000000007E-2</v>
      </c>
      <c r="I61" s="16">
        <f t="shared" si="23"/>
        <v>607.12592592592591</v>
      </c>
      <c r="J61" s="21">
        <v>0</v>
      </c>
      <c r="K61" s="21">
        <v>0</v>
      </c>
      <c r="L61" s="112">
        <f>J61*I61</f>
        <v>0</v>
      </c>
      <c r="M61" s="112">
        <f>K61*I61</f>
        <v>0</v>
      </c>
      <c r="N61" s="22">
        <f>L61+M61</f>
        <v>0</v>
      </c>
      <c r="O61" s="19"/>
    </row>
    <row r="62" spans="1:18" ht="15.75" thickBot="1" x14ac:dyDescent="0.2">
      <c r="A62" s="114" t="str">
        <f>IF(G62&lt;&gt;"",1+MAX($A$6:A61),"")</f>
        <v/>
      </c>
      <c r="B62" s="115"/>
      <c r="C62" s="13"/>
      <c r="D62" s="12"/>
      <c r="E62" s="66"/>
      <c r="F62" s="119"/>
      <c r="G62" s="11"/>
      <c r="H62" s="15"/>
      <c r="I62" s="16"/>
      <c r="J62" s="24"/>
      <c r="K62" s="24"/>
      <c r="L62" s="24"/>
      <c r="M62" s="24"/>
      <c r="N62" s="22"/>
      <c r="O62" s="19"/>
    </row>
    <row r="63" spans="1:18" ht="16.5" thickBot="1" x14ac:dyDescent="0.25">
      <c r="A63" s="114" t="str">
        <f>IF(G63&lt;&gt;"",1+MAX($A$6:A62),"")</f>
        <v/>
      </c>
      <c r="B63" s="115"/>
      <c r="C63" s="13"/>
      <c r="D63" s="13"/>
      <c r="E63" s="14" t="s">
        <v>89</v>
      </c>
      <c r="F63" s="119"/>
      <c r="G63" s="56"/>
      <c r="H63" s="15"/>
      <c r="I63" s="16"/>
      <c r="J63" s="24"/>
      <c r="K63" s="24"/>
      <c r="L63" s="24"/>
      <c r="M63" s="24"/>
      <c r="N63" s="22"/>
      <c r="O63" s="19"/>
    </row>
    <row r="64" spans="1:18" ht="15.75" x14ac:dyDescent="0.2">
      <c r="A64" s="114">
        <f>IF(G64&lt;&gt;"",1+MAX($A$6:A63),"")</f>
        <v>36</v>
      </c>
      <c r="B64" s="115" t="s">
        <v>108</v>
      </c>
      <c r="C64" s="13" t="s">
        <v>115</v>
      </c>
      <c r="D64" s="12"/>
      <c r="E64" s="57" t="s">
        <v>116</v>
      </c>
      <c r="F64" s="119" t="s">
        <v>13</v>
      </c>
      <c r="G64" s="11">
        <f>608*1/27</f>
        <v>22.518518518518519</v>
      </c>
      <c r="H64" s="6">
        <v>7.0000000000000007E-2</v>
      </c>
      <c r="I64" s="16">
        <f t="shared" ref="I64:I66" si="25">G64*(1+H64)</f>
        <v>24.094814814814818</v>
      </c>
      <c r="J64" s="21">
        <v>0</v>
      </c>
      <c r="K64" s="21">
        <v>0</v>
      </c>
      <c r="L64" s="112">
        <f>J64*I64</f>
        <v>0</v>
      </c>
      <c r="M64" s="112">
        <f>K64*I64</f>
        <v>0</v>
      </c>
      <c r="N64" s="22">
        <f t="shared" ref="N64:N66" si="26">L64+M64</f>
        <v>0</v>
      </c>
      <c r="O64" s="19"/>
    </row>
    <row r="65" spans="1:16" ht="15.75" x14ac:dyDescent="0.2">
      <c r="A65" s="114">
        <f>IF(G65&lt;&gt;"",1+MAX($A$6:A64),"")</f>
        <v>37</v>
      </c>
      <c r="B65" s="115" t="s">
        <v>108</v>
      </c>
      <c r="C65" s="13" t="s">
        <v>115</v>
      </c>
      <c r="D65" s="65"/>
      <c r="E65" s="23" t="s">
        <v>120</v>
      </c>
      <c r="F65" s="119" t="s">
        <v>34</v>
      </c>
      <c r="G65" s="11">
        <f>24*24*4*1.502</f>
        <v>3460.6080000000002</v>
      </c>
      <c r="H65" s="6">
        <v>7.0000000000000007E-2</v>
      </c>
      <c r="I65" s="16">
        <f t="shared" si="25"/>
        <v>3702.8505600000003</v>
      </c>
      <c r="J65" s="21">
        <v>0</v>
      </c>
      <c r="K65" s="21">
        <v>0</v>
      </c>
      <c r="L65" s="112">
        <f>J65*I65</f>
        <v>0</v>
      </c>
      <c r="M65" s="112">
        <f>K65*I65</f>
        <v>0</v>
      </c>
      <c r="N65" s="22">
        <f t="shared" si="26"/>
        <v>0</v>
      </c>
      <c r="O65" s="61"/>
    </row>
    <row r="66" spans="1:16" ht="15.75" x14ac:dyDescent="0.2">
      <c r="A66" s="114">
        <f>IF(G66&lt;&gt;"",1+MAX($A$6:A65),"")</f>
        <v>38</v>
      </c>
      <c r="B66" s="115" t="s">
        <v>108</v>
      </c>
      <c r="C66" s="13" t="s">
        <v>115</v>
      </c>
      <c r="D66" s="12"/>
      <c r="E66" s="23" t="s">
        <v>117</v>
      </c>
      <c r="F66" s="119" t="s">
        <v>13</v>
      </c>
      <c r="G66" s="11">
        <f>608*10/27</f>
        <v>225.18518518518519</v>
      </c>
      <c r="H66" s="60">
        <v>7.0000000000000007E-2</v>
      </c>
      <c r="I66" s="16">
        <f t="shared" si="25"/>
        <v>240.94814814814816</v>
      </c>
      <c r="J66" s="21">
        <v>0</v>
      </c>
      <c r="K66" s="21">
        <v>0</v>
      </c>
      <c r="L66" s="112">
        <f>J66*I66</f>
        <v>0</v>
      </c>
      <c r="M66" s="112">
        <f>K66*I66</f>
        <v>0</v>
      </c>
      <c r="N66" s="22">
        <f t="shared" si="26"/>
        <v>0</v>
      </c>
      <c r="O66" s="19"/>
    </row>
    <row r="67" spans="1:16" ht="15.75" thickBot="1" x14ac:dyDescent="0.2">
      <c r="A67" s="114" t="str">
        <f>IF(G67&lt;&gt;"",1+MAX($A$6:A66),"")</f>
        <v/>
      </c>
      <c r="B67" s="115"/>
      <c r="C67" s="13"/>
      <c r="D67" s="12"/>
      <c r="E67" s="66"/>
      <c r="F67" s="119"/>
      <c r="G67" s="11"/>
      <c r="H67" s="15"/>
      <c r="I67" s="16"/>
      <c r="J67" s="24"/>
      <c r="K67" s="24"/>
      <c r="L67" s="24"/>
      <c r="M67" s="24"/>
      <c r="N67" s="22"/>
      <c r="O67" s="19"/>
    </row>
    <row r="68" spans="1:16" ht="16.5" thickBot="1" x14ac:dyDescent="0.25">
      <c r="A68" s="114" t="str">
        <f>IF(G68&lt;&gt;"",1+MAX($A$6:A67),"")</f>
        <v/>
      </c>
      <c r="B68" s="115"/>
      <c r="C68" s="13"/>
      <c r="D68" s="13"/>
      <c r="E68" s="14" t="s">
        <v>285</v>
      </c>
      <c r="F68" s="119"/>
      <c r="G68" s="56"/>
      <c r="H68" s="15"/>
      <c r="I68" s="16"/>
      <c r="J68" s="24"/>
      <c r="K68" s="24"/>
      <c r="L68" s="24"/>
      <c r="M68" s="24"/>
      <c r="N68" s="22"/>
      <c r="O68" s="19"/>
    </row>
    <row r="69" spans="1:16" ht="15.75" x14ac:dyDescent="0.2">
      <c r="A69" s="114">
        <f>IF(G69&lt;&gt;"",1+MAX($A$6:A68),"")</f>
        <v>39</v>
      </c>
      <c r="B69" s="115" t="s">
        <v>286</v>
      </c>
      <c r="C69" s="13"/>
      <c r="D69" s="12"/>
      <c r="E69" s="57" t="s">
        <v>287</v>
      </c>
      <c r="F69" s="119" t="s">
        <v>13</v>
      </c>
      <c r="G69" s="11">
        <f>(250*0.5/27+(1*0.5*46/27))*2</f>
        <v>10.962962962962964</v>
      </c>
      <c r="H69" s="6">
        <v>7.0000000000000007E-2</v>
      </c>
      <c r="I69" s="16">
        <f t="shared" ref="I69:I71" si="27">G69*(1+H69)</f>
        <v>11.730370370370371</v>
      </c>
      <c r="J69" s="21">
        <v>0</v>
      </c>
      <c r="K69" s="21">
        <v>0</v>
      </c>
      <c r="L69" s="112">
        <f>J69*I69</f>
        <v>0</v>
      </c>
      <c r="M69" s="112">
        <f>K69*I69</f>
        <v>0</v>
      </c>
      <c r="N69" s="22">
        <f t="shared" ref="N69:N70" si="28">L69+M69</f>
        <v>0</v>
      </c>
      <c r="O69" s="19"/>
    </row>
    <row r="70" spans="1:16" ht="15.75" x14ac:dyDescent="0.2">
      <c r="A70" s="114">
        <f>IF(G70&lt;&gt;"",1+MAX($A$6:A69),"")</f>
        <v>40</v>
      </c>
      <c r="B70" s="115" t="s">
        <v>286</v>
      </c>
      <c r="C70" s="13"/>
      <c r="D70" s="65"/>
      <c r="E70" s="23" t="s">
        <v>288</v>
      </c>
      <c r="F70" s="119" t="s">
        <v>34</v>
      </c>
      <c r="G70" s="11">
        <f>(12*14*0.376)*2</f>
        <v>126.336</v>
      </c>
      <c r="H70" s="6">
        <v>7.0000000000000007E-2</v>
      </c>
      <c r="I70" s="16">
        <f t="shared" si="27"/>
        <v>135.17952</v>
      </c>
      <c r="J70" s="21">
        <v>0</v>
      </c>
      <c r="K70" s="21">
        <v>0</v>
      </c>
      <c r="L70" s="112">
        <f>J70*I70</f>
        <v>0</v>
      </c>
      <c r="M70" s="112">
        <f>K70*I70</f>
        <v>0</v>
      </c>
      <c r="N70" s="22">
        <f t="shared" si="28"/>
        <v>0</v>
      </c>
      <c r="O70" s="61"/>
    </row>
    <row r="71" spans="1:16" ht="15.75" x14ac:dyDescent="0.2">
      <c r="A71" s="114">
        <f>IF(G71&lt;&gt;"",1+MAX($A$6:A70),"")</f>
        <v>41</v>
      </c>
      <c r="B71" s="115" t="s">
        <v>286</v>
      </c>
      <c r="C71" s="116"/>
      <c r="D71" s="68"/>
      <c r="E71" s="66" t="s">
        <v>29</v>
      </c>
      <c r="F71" s="119" t="s">
        <v>13</v>
      </c>
      <c r="G71" s="11">
        <f>((250*0.5)/27)*2</f>
        <v>9.2592592592592595</v>
      </c>
      <c r="H71" s="6">
        <v>7.0000000000000007E-2</v>
      </c>
      <c r="I71" s="16">
        <f t="shared" si="27"/>
        <v>9.9074074074074083</v>
      </c>
      <c r="J71" s="21">
        <v>0</v>
      </c>
      <c r="K71" s="21">
        <v>0</v>
      </c>
      <c r="L71" s="112">
        <f t="shared" ref="L71" si="29">J71*I71</f>
        <v>0</v>
      </c>
      <c r="M71" s="112">
        <f t="shared" ref="M71" si="30">K71*I71</f>
        <v>0</v>
      </c>
      <c r="N71" s="22">
        <f>L71+M71</f>
        <v>0</v>
      </c>
      <c r="O71" s="19"/>
    </row>
    <row r="72" spans="1:16" ht="15.75" x14ac:dyDescent="0.2">
      <c r="A72" s="114">
        <f>IF(G72&lt;&gt;"",1+MAX($A$6:A71),"")</f>
        <v>42</v>
      </c>
      <c r="B72" s="115" t="s">
        <v>286</v>
      </c>
      <c r="C72" s="116"/>
      <c r="D72" s="68"/>
      <c r="E72" s="66" t="s">
        <v>289</v>
      </c>
      <c r="F72" s="119" t="s">
        <v>94</v>
      </c>
      <c r="G72" s="11">
        <f>2*46</f>
        <v>92</v>
      </c>
      <c r="H72" s="6">
        <v>7.0000000000000007E-2</v>
      </c>
      <c r="I72" s="16">
        <f t="shared" ref="I72" si="31">G72*(1+H72)</f>
        <v>98.440000000000012</v>
      </c>
      <c r="J72" s="21">
        <v>0</v>
      </c>
      <c r="K72" s="21">
        <v>0</v>
      </c>
      <c r="L72" s="112">
        <f t="shared" ref="L72" si="32">J72*I72</f>
        <v>0</v>
      </c>
      <c r="M72" s="112">
        <f t="shared" ref="M72" si="33">K72*I72</f>
        <v>0</v>
      </c>
      <c r="N72" s="22">
        <f>L72+M72</f>
        <v>0</v>
      </c>
      <c r="O72" s="19"/>
    </row>
    <row r="73" spans="1:16" s="121" customFormat="1" ht="15.75" x14ac:dyDescent="0.2">
      <c r="A73" s="114">
        <f>IF(G73&lt;&gt;"",1+MAX($A$6:A72),"")</f>
        <v>43</v>
      </c>
      <c r="B73" s="115" t="s">
        <v>286</v>
      </c>
      <c r="C73" s="116"/>
      <c r="D73" s="241"/>
      <c r="E73" s="240" t="s">
        <v>297</v>
      </c>
      <c r="F73" s="119" t="s">
        <v>94</v>
      </c>
      <c r="G73" s="242">
        <f>6*4*2</f>
        <v>48</v>
      </c>
      <c r="H73" s="133">
        <v>7.0000000000000007E-2</v>
      </c>
      <c r="I73" s="118">
        <f t="shared" ref="I73" si="34">G73*(1+H73)</f>
        <v>51.36</v>
      </c>
      <c r="J73" s="209">
        <v>0</v>
      </c>
      <c r="K73" s="209">
        <v>0</v>
      </c>
      <c r="L73" s="210">
        <f t="shared" ref="L73" si="35">J73*I73</f>
        <v>0</v>
      </c>
      <c r="M73" s="210">
        <f t="shared" ref="M73" si="36">K73*I73</f>
        <v>0</v>
      </c>
      <c r="N73" s="211">
        <f>L73+M73</f>
        <v>0</v>
      </c>
      <c r="O73" s="120"/>
    </row>
    <row r="74" spans="1:16" ht="15.75" thickBot="1" x14ac:dyDescent="0.2">
      <c r="A74" s="114" t="str">
        <f>IF(G74&lt;&gt;"",1+MAX($A$6:A73),"")</f>
        <v/>
      </c>
      <c r="B74" s="115"/>
      <c r="C74" s="13"/>
      <c r="D74" s="69"/>
      <c r="E74" s="66"/>
      <c r="F74" s="119"/>
      <c r="G74" s="11"/>
      <c r="H74" s="6"/>
      <c r="I74" s="16"/>
      <c r="J74" s="24"/>
      <c r="K74" s="24"/>
      <c r="L74" s="24"/>
      <c r="M74" s="24"/>
      <c r="N74" s="22"/>
      <c r="O74" s="61"/>
    </row>
    <row r="75" spans="1:16" ht="16.5" thickBot="1" x14ac:dyDescent="0.25">
      <c r="A75" s="114" t="str">
        <f>IF(G75&lt;&gt;"",1+MAX($A$6:A74),"")</f>
        <v/>
      </c>
      <c r="B75" s="117"/>
      <c r="C75" s="12"/>
      <c r="D75" s="70"/>
      <c r="E75" s="71" t="s">
        <v>40</v>
      </c>
      <c r="F75" s="119"/>
      <c r="G75" s="64"/>
      <c r="H75" s="72"/>
      <c r="I75" s="16"/>
      <c r="J75" s="73"/>
      <c r="K75" s="73"/>
      <c r="L75" s="73"/>
      <c r="M75" s="73"/>
      <c r="N75" s="74"/>
      <c r="O75" s="75">
        <f>SUM(N8:N74)</f>
        <v>0</v>
      </c>
      <c r="P75" s="76"/>
    </row>
    <row r="76" spans="1:16" ht="15.75" thickBot="1" x14ac:dyDescent="0.2">
      <c r="A76" s="114" t="str">
        <f>IF(G76&lt;&gt;"",1+MAX($A$6:A75),"")</f>
        <v/>
      </c>
      <c r="B76" s="115"/>
      <c r="C76" s="13"/>
      <c r="D76" s="69"/>
      <c r="E76" s="57"/>
      <c r="F76" s="119"/>
      <c r="G76" s="11"/>
      <c r="H76" s="6"/>
      <c r="I76" s="16"/>
      <c r="J76" s="24"/>
      <c r="K76" s="24"/>
      <c r="L76" s="24"/>
      <c r="M76" s="24"/>
      <c r="N76" s="22"/>
      <c r="O76" s="61"/>
    </row>
    <row r="77" spans="1:16" s="49" customFormat="1" ht="15.75" thickBot="1" x14ac:dyDescent="0.2">
      <c r="A77" s="114" t="str">
        <f>IF(G77&lt;&gt;"",1+MAX($A$6:A76),"")</f>
        <v/>
      </c>
      <c r="B77" s="124"/>
      <c r="C77" s="41"/>
      <c r="D77" s="42" t="s">
        <v>41</v>
      </c>
      <c r="E77" s="43" t="s">
        <v>42</v>
      </c>
      <c r="F77" s="193"/>
      <c r="G77" s="44"/>
      <c r="H77" s="45"/>
      <c r="I77" s="45"/>
      <c r="J77" s="46"/>
      <c r="K77" s="46"/>
      <c r="L77" s="46"/>
      <c r="M77" s="46"/>
      <c r="N77" s="47"/>
      <c r="O77" s="48"/>
      <c r="P77" s="137"/>
    </row>
    <row r="78" spans="1:16" ht="15.75" thickBot="1" x14ac:dyDescent="0.2">
      <c r="A78" s="114" t="str">
        <f>IF(G78&lt;&gt;"",1+MAX($A$6:A77),"")</f>
        <v/>
      </c>
      <c r="B78" s="115"/>
      <c r="C78" s="50"/>
      <c r="D78" s="51"/>
      <c r="E78" s="259" t="s">
        <v>139</v>
      </c>
      <c r="F78" s="260"/>
      <c r="G78" s="261"/>
      <c r="H78" s="52"/>
      <c r="I78" s="53"/>
      <c r="J78" s="54"/>
      <c r="K78" s="54"/>
      <c r="L78" s="54"/>
      <c r="M78" s="54"/>
      <c r="N78" s="55"/>
      <c r="O78" s="19"/>
    </row>
    <row r="79" spans="1:16" ht="15.75" x14ac:dyDescent="0.2">
      <c r="A79" s="114">
        <f>IF(G79&lt;&gt;"",1+MAX($A$6:A78),"")</f>
        <v>44</v>
      </c>
      <c r="B79" s="115" t="s">
        <v>140</v>
      </c>
      <c r="C79" s="13"/>
      <c r="D79" s="12"/>
      <c r="E79" s="202" t="s">
        <v>133</v>
      </c>
      <c r="F79" s="203" t="s">
        <v>33</v>
      </c>
      <c r="G79" s="203">
        <v>23</v>
      </c>
      <c r="H79" s="6">
        <v>7.0000000000000007E-2</v>
      </c>
      <c r="I79" s="16">
        <f t="shared" ref="I79:I80" si="37">G79*(1+H79)</f>
        <v>24.610000000000003</v>
      </c>
      <c r="J79" s="21">
        <v>0</v>
      </c>
      <c r="K79" s="21">
        <v>0</v>
      </c>
      <c r="L79" s="112">
        <f t="shared" ref="L79:L85" si="38">J79*I79</f>
        <v>0</v>
      </c>
      <c r="M79" s="112">
        <f t="shared" ref="M79:M85" si="39">K79*I79</f>
        <v>0</v>
      </c>
      <c r="N79" s="22">
        <f t="shared" ref="N79:N80" si="40">L79+M79</f>
        <v>0</v>
      </c>
      <c r="O79" s="19"/>
      <c r="P79" s="59"/>
    </row>
    <row r="80" spans="1:16" ht="15.75" x14ac:dyDescent="0.2">
      <c r="A80" s="114">
        <f>IF(G80&lt;&gt;"",1+MAX($A$6:A79),"")</f>
        <v>45</v>
      </c>
      <c r="B80" s="115" t="s">
        <v>140</v>
      </c>
      <c r="C80" s="13"/>
      <c r="D80" s="12"/>
      <c r="E80" s="202" t="s">
        <v>134</v>
      </c>
      <c r="F80" s="203" t="s">
        <v>33</v>
      </c>
      <c r="G80" s="203">
        <v>23</v>
      </c>
      <c r="H80" s="60">
        <v>7.0000000000000007E-2</v>
      </c>
      <c r="I80" s="16">
        <f t="shared" si="37"/>
        <v>24.610000000000003</v>
      </c>
      <c r="J80" s="21">
        <v>0</v>
      </c>
      <c r="K80" s="21">
        <v>0</v>
      </c>
      <c r="L80" s="112">
        <f t="shared" si="38"/>
        <v>0</v>
      </c>
      <c r="M80" s="112">
        <f t="shared" si="39"/>
        <v>0</v>
      </c>
      <c r="N80" s="22">
        <f t="shared" si="40"/>
        <v>0</v>
      </c>
      <c r="O80" s="19"/>
    </row>
    <row r="81" spans="1:16" ht="16.5" thickBot="1" x14ac:dyDescent="0.25">
      <c r="A81" s="114">
        <f>IF(G81&lt;&gt;"",1+MAX($A$6:A80),"")</f>
        <v>46</v>
      </c>
      <c r="B81" s="115" t="s">
        <v>140</v>
      </c>
      <c r="C81" s="13"/>
      <c r="D81" s="12"/>
      <c r="E81" s="202" t="s">
        <v>134</v>
      </c>
      <c r="F81" s="203" t="s">
        <v>33</v>
      </c>
      <c r="G81" s="203">
        <v>33</v>
      </c>
      <c r="H81" s="60">
        <v>7.0000000000000007E-2</v>
      </c>
      <c r="I81" s="16">
        <f t="shared" ref="I81" si="41">G81*(1+H81)</f>
        <v>35.31</v>
      </c>
      <c r="J81" s="21">
        <v>0</v>
      </c>
      <c r="K81" s="21">
        <v>0</v>
      </c>
      <c r="L81" s="112">
        <f t="shared" si="38"/>
        <v>0</v>
      </c>
      <c r="M81" s="112">
        <f t="shared" si="39"/>
        <v>0</v>
      </c>
      <c r="N81" s="22">
        <f t="shared" ref="N81" si="42">L81+M81</f>
        <v>0</v>
      </c>
      <c r="O81" s="19"/>
    </row>
    <row r="82" spans="1:16" ht="15.75" thickBot="1" x14ac:dyDescent="0.2">
      <c r="A82" s="114" t="str">
        <f>IF(G82&lt;&gt;"",1+MAX($A$6:A81),"")</f>
        <v/>
      </c>
      <c r="B82" s="115"/>
      <c r="C82" s="50"/>
      <c r="D82" s="51"/>
      <c r="E82" s="259" t="s">
        <v>99</v>
      </c>
      <c r="F82" s="260"/>
      <c r="G82" s="261"/>
      <c r="H82" s="52"/>
      <c r="I82" s="53"/>
      <c r="J82" s="54"/>
      <c r="K82" s="54"/>
      <c r="L82" s="54"/>
      <c r="M82" s="54"/>
      <c r="N82" s="55"/>
      <c r="O82" s="19"/>
    </row>
    <row r="83" spans="1:16" ht="15.75" x14ac:dyDescent="0.2">
      <c r="A83" s="114">
        <f>IF(G83&lt;&gt;"",1+MAX($A$6:A82),"")</f>
        <v>47</v>
      </c>
      <c r="B83" s="115" t="s">
        <v>141</v>
      </c>
      <c r="C83" s="13"/>
      <c r="D83" s="12"/>
      <c r="E83" s="202" t="s">
        <v>135</v>
      </c>
      <c r="F83" s="203" t="s">
        <v>94</v>
      </c>
      <c r="G83" s="203">
        <v>43.47</v>
      </c>
      <c r="H83" s="60">
        <v>7.0000000000000007E-2</v>
      </c>
      <c r="I83" s="16">
        <f t="shared" ref="I83" si="43">G83*(1+H83)</f>
        <v>46.512900000000002</v>
      </c>
      <c r="J83" s="21">
        <v>0</v>
      </c>
      <c r="K83" s="21">
        <v>0</v>
      </c>
      <c r="L83" s="112">
        <f t="shared" si="38"/>
        <v>0</v>
      </c>
      <c r="M83" s="112">
        <f t="shared" si="39"/>
        <v>0</v>
      </c>
      <c r="N83" s="22">
        <f t="shared" ref="N83" si="44">L83+M83</f>
        <v>0</v>
      </c>
      <c r="O83" s="19"/>
    </row>
    <row r="84" spans="1:16" ht="15.75" x14ac:dyDescent="0.2">
      <c r="A84" s="114">
        <f>IF(G84&lt;&gt;"",1+MAX($A$6:A83),"")</f>
        <v>48</v>
      </c>
      <c r="B84" s="115" t="s">
        <v>141</v>
      </c>
      <c r="C84" s="13"/>
      <c r="D84" s="12"/>
      <c r="E84" s="202" t="s">
        <v>136</v>
      </c>
      <c r="F84" s="203" t="s">
        <v>94</v>
      </c>
      <c r="G84" s="203">
        <v>53.28</v>
      </c>
      <c r="H84" s="60">
        <v>7.0000000000000007E-2</v>
      </c>
      <c r="I84" s="16">
        <f t="shared" ref="I84" si="45">G84*(1+H84)</f>
        <v>57.009600000000006</v>
      </c>
      <c r="J84" s="21">
        <v>0</v>
      </c>
      <c r="K84" s="21">
        <v>0</v>
      </c>
      <c r="L84" s="112">
        <f t="shared" si="38"/>
        <v>0</v>
      </c>
      <c r="M84" s="112">
        <f t="shared" si="39"/>
        <v>0</v>
      </c>
      <c r="N84" s="22">
        <f t="shared" ref="N84" si="46">L84+M84</f>
        <v>0</v>
      </c>
      <c r="O84" s="19"/>
    </row>
    <row r="85" spans="1:16" s="121" customFormat="1" ht="45.75" thickBot="1" x14ac:dyDescent="0.25">
      <c r="A85" s="114">
        <f>IF(G85&lt;&gt;"",1+MAX($A$6:A84),"")</f>
        <v>49</v>
      </c>
      <c r="B85" s="115" t="s">
        <v>141</v>
      </c>
      <c r="C85" s="116"/>
      <c r="D85" s="117"/>
      <c r="E85" s="206" t="s">
        <v>138</v>
      </c>
      <c r="F85" s="207" t="s">
        <v>33</v>
      </c>
      <c r="G85" s="207">
        <v>1</v>
      </c>
      <c r="H85" s="208">
        <v>7.0000000000000007E-2</v>
      </c>
      <c r="I85" s="118">
        <f t="shared" ref="I85" si="47">G85*(1+H85)</f>
        <v>1.07</v>
      </c>
      <c r="J85" s="209">
        <v>0</v>
      </c>
      <c r="K85" s="209">
        <v>0</v>
      </c>
      <c r="L85" s="210">
        <f t="shared" si="38"/>
        <v>0</v>
      </c>
      <c r="M85" s="210">
        <f t="shared" si="39"/>
        <v>0</v>
      </c>
      <c r="N85" s="211">
        <f t="shared" ref="N85" si="48">L85+M85</f>
        <v>0</v>
      </c>
      <c r="O85" s="120"/>
    </row>
    <row r="86" spans="1:16" ht="15.75" thickBot="1" x14ac:dyDescent="0.2">
      <c r="A86" s="114" t="str">
        <f>IF(G86&lt;&gt;"",1+MAX($A$6:A85),"")</f>
        <v/>
      </c>
      <c r="B86" s="115"/>
      <c r="C86" s="50"/>
      <c r="D86" s="51"/>
      <c r="E86" s="259" t="s">
        <v>137</v>
      </c>
      <c r="F86" s="260"/>
      <c r="G86" s="261"/>
      <c r="H86" s="52"/>
      <c r="I86" s="53"/>
      <c r="J86" s="54"/>
      <c r="K86" s="54"/>
      <c r="L86" s="54"/>
      <c r="M86" s="54"/>
      <c r="N86" s="55"/>
      <c r="O86" s="19"/>
    </row>
    <row r="87" spans="1:16" ht="15.75" x14ac:dyDescent="0.2">
      <c r="A87" s="114">
        <f>IF(G87&lt;&gt;"",1+MAX($A$6:A86),"")</f>
        <v>50</v>
      </c>
      <c r="B87" s="115" t="s">
        <v>141</v>
      </c>
      <c r="C87" s="13"/>
      <c r="D87" s="12"/>
      <c r="E87" s="204" t="s">
        <v>93</v>
      </c>
      <c r="F87" s="205" t="s">
        <v>94</v>
      </c>
      <c r="G87" s="205">
        <v>180.43</v>
      </c>
      <c r="H87" s="60">
        <v>7.0000000000000007E-2</v>
      </c>
      <c r="I87" s="16">
        <f t="shared" ref="I87" si="49">G87*(1+H87)</f>
        <v>193.06010000000001</v>
      </c>
      <c r="J87" s="21">
        <v>0</v>
      </c>
      <c r="K87" s="21">
        <v>0</v>
      </c>
      <c r="L87" s="112">
        <f t="shared" ref="L87" si="50">J87*I87</f>
        <v>0</v>
      </c>
      <c r="M87" s="112">
        <f t="shared" ref="M87" si="51">K87*I87</f>
        <v>0</v>
      </c>
      <c r="N87" s="22">
        <f t="shared" ref="N87" si="52">L87+M87</f>
        <v>0</v>
      </c>
      <c r="O87" s="19"/>
    </row>
    <row r="88" spans="1:16" ht="15.75" thickBot="1" x14ac:dyDescent="0.2">
      <c r="A88" s="114" t="str">
        <f>IF(G88&lt;&gt;"",1+MAX($A$6:A87),"")</f>
        <v/>
      </c>
      <c r="B88" s="115"/>
      <c r="C88" s="13"/>
      <c r="D88" s="69"/>
      <c r="E88" s="66"/>
      <c r="F88" s="119"/>
      <c r="G88" s="11"/>
      <c r="H88" s="6"/>
      <c r="I88" s="16"/>
      <c r="J88" s="24"/>
      <c r="K88" s="24"/>
      <c r="L88" s="24"/>
      <c r="M88" s="24"/>
      <c r="N88" s="22"/>
      <c r="O88" s="61"/>
    </row>
    <row r="89" spans="1:16" ht="16.5" thickBot="1" x14ac:dyDescent="0.25">
      <c r="A89" s="114" t="str">
        <f>IF(G89&lt;&gt;"",1+MAX($A$6:A88),"")</f>
        <v/>
      </c>
      <c r="B89" s="117"/>
      <c r="C89" s="12"/>
      <c r="D89" s="70"/>
      <c r="E89" s="71" t="s">
        <v>40</v>
      </c>
      <c r="F89" s="119"/>
      <c r="G89" s="64"/>
      <c r="H89" s="72"/>
      <c r="I89" s="16"/>
      <c r="J89" s="73"/>
      <c r="K89" s="73"/>
      <c r="L89" s="73"/>
      <c r="M89" s="73"/>
      <c r="N89" s="74"/>
      <c r="O89" s="75">
        <f>SUM(N78:N88)</f>
        <v>0</v>
      </c>
      <c r="P89" s="76"/>
    </row>
    <row r="90" spans="1:16" ht="15.75" thickBot="1" x14ac:dyDescent="0.2">
      <c r="A90" s="114" t="str">
        <f>IF(G90&lt;&gt;"",1+MAX($A$6:A89),"")</f>
        <v/>
      </c>
      <c r="B90" s="115"/>
      <c r="C90" s="13"/>
      <c r="D90" s="69"/>
      <c r="E90" s="57"/>
      <c r="F90" s="119"/>
      <c r="G90" s="11"/>
      <c r="H90" s="6"/>
      <c r="I90" s="16"/>
      <c r="J90" s="24"/>
      <c r="K90" s="24"/>
      <c r="L90" s="24"/>
      <c r="M90" s="24"/>
      <c r="N90" s="22"/>
      <c r="O90" s="61"/>
    </row>
    <row r="91" spans="1:16" s="49" customFormat="1" ht="15.75" thickBot="1" x14ac:dyDescent="0.2">
      <c r="A91" s="114" t="str">
        <f>IF(G91&lt;&gt;"",1+MAX($A$6:A90),"")</f>
        <v/>
      </c>
      <c r="B91" s="124"/>
      <c r="C91" s="41"/>
      <c r="D91" s="42" t="s">
        <v>43</v>
      </c>
      <c r="E91" s="43" t="s">
        <v>44</v>
      </c>
      <c r="F91" s="193"/>
      <c r="G91" s="44"/>
      <c r="H91" s="45"/>
      <c r="I91" s="45"/>
      <c r="J91" s="46"/>
      <c r="K91" s="46"/>
      <c r="L91" s="46"/>
      <c r="M91" s="46"/>
      <c r="N91" s="47"/>
      <c r="O91" s="48"/>
      <c r="P91" s="137"/>
    </row>
    <row r="92" spans="1:16" ht="15.75" thickBot="1" x14ac:dyDescent="0.2">
      <c r="A92" s="114" t="str">
        <f>IF(G92&lt;&gt;"",1+MAX($A$6:A91),"")</f>
        <v/>
      </c>
      <c r="B92" s="115"/>
      <c r="C92" s="50"/>
      <c r="D92" s="51"/>
      <c r="E92" s="259" t="s">
        <v>45</v>
      </c>
      <c r="F92" s="260"/>
      <c r="G92" s="261"/>
      <c r="H92" s="52"/>
      <c r="I92" s="53"/>
      <c r="J92" s="54"/>
      <c r="K92" s="54"/>
      <c r="L92" s="54"/>
      <c r="M92" s="54"/>
      <c r="N92" s="55"/>
      <c r="O92" s="19"/>
    </row>
    <row r="93" spans="1:16" ht="15.75" x14ac:dyDescent="0.2">
      <c r="A93" s="114" t="str">
        <f>IF(G93&lt;&gt;"",1+MAX($A$6:A92),"")</f>
        <v/>
      </c>
      <c r="B93" s="115" t="s">
        <v>158</v>
      </c>
      <c r="C93" s="13"/>
      <c r="D93" s="65"/>
      <c r="E93" s="214" t="s">
        <v>149</v>
      </c>
      <c r="F93" s="184"/>
      <c r="G93" s="184"/>
      <c r="H93" s="6"/>
      <c r="I93" s="16"/>
      <c r="J93" s="24"/>
      <c r="K93" s="24"/>
      <c r="L93" s="112"/>
      <c r="M93" s="112"/>
      <c r="N93" s="22"/>
      <c r="O93" s="61"/>
    </row>
    <row r="94" spans="1:16" ht="15.75" x14ac:dyDescent="0.2">
      <c r="A94" s="114">
        <f>IF(G94&lt;&gt;"",1+MAX($A$6:A93),"")</f>
        <v>51</v>
      </c>
      <c r="B94" s="115"/>
      <c r="C94" s="13"/>
      <c r="D94" s="65"/>
      <c r="E94" s="183" t="s">
        <v>150</v>
      </c>
      <c r="F94" s="184" t="s">
        <v>12</v>
      </c>
      <c r="G94" s="184">
        <v>23879.38</v>
      </c>
      <c r="H94" s="6">
        <v>7.0000000000000007E-2</v>
      </c>
      <c r="I94" s="16">
        <f t="shared" ref="I94" si="53">G94*(1+H94)</f>
        <v>25550.936600000001</v>
      </c>
      <c r="J94" s="21">
        <v>0</v>
      </c>
      <c r="K94" s="21">
        <v>0</v>
      </c>
      <c r="L94" s="112">
        <f>J94*I94</f>
        <v>0</v>
      </c>
      <c r="M94" s="112">
        <f>K94*I94</f>
        <v>0</v>
      </c>
      <c r="N94" s="22">
        <f t="shared" ref="N94" si="54">L94+M94</f>
        <v>0</v>
      </c>
      <c r="O94" s="61"/>
    </row>
    <row r="95" spans="1:16" ht="15.75" x14ac:dyDescent="0.2">
      <c r="A95" s="114">
        <f>IF(G95&lt;&gt;"",1+MAX($A$6:A94),"")</f>
        <v>52</v>
      </c>
      <c r="B95" s="115"/>
      <c r="C95" s="13"/>
      <c r="D95" s="65"/>
      <c r="E95" s="183" t="s">
        <v>151</v>
      </c>
      <c r="F95" s="184" t="s">
        <v>12</v>
      </c>
      <c r="G95" s="184">
        <v>23879.38</v>
      </c>
      <c r="H95" s="6">
        <v>7.0000000000000007E-2</v>
      </c>
      <c r="I95" s="16">
        <f t="shared" ref="I95" si="55">G95*(1+H95)</f>
        <v>25550.936600000001</v>
      </c>
      <c r="J95" s="21">
        <v>0</v>
      </c>
      <c r="K95" s="21">
        <v>0</v>
      </c>
      <c r="L95" s="112">
        <f>J95*I95</f>
        <v>0</v>
      </c>
      <c r="M95" s="112">
        <f>K95*I95</f>
        <v>0</v>
      </c>
      <c r="N95" s="22">
        <f t="shared" ref="N95" si="56">L95+M95</f>
        <v>0</v>
      </c>
      <c r="O95" s="61"/>
    </row>
    <row r="96" spans="1:16" ht="15.75" x14ac:dyDescent="0.2">
      <c r="A96" s="114">
        <f>IF(G96&lt;&gt;"",1+MAX($A$6:A95),"")</f>
        <v>53</v>
      </c>
      <c r="B96" s="115"/>
      <c r="C96" s="13"/>
      <c r="D96" s="65"/>
      <c r="E96" s="183" t="s">
        <v>152</v>
      </c>
      <c r="F96" s="184" t="s">
        <v>12</v>
      </c>
      <c r="G96" s="184">
        <v>23879.38</v>
      </c>
      <c r="H96" s="6">
        <v>7.0000000000000007E-2</v>
      </c>
      <c r="I96" s="16">
        <f t="shared" ref="I96" si="57">G96*(1+H96)</f>
        <v>25550.936600000001</v>
      </c>
      <c r="J96" s="21">
        <v>0</v>
      </c>
      <c r="K96" s="21">
        <v>0</v>
      </c>
      <c r="L96" s="112">
        <f>J96*I96</f>
        <v>0</v>
      </c>
      <c r="M96" s="112">
        <f>K96*I96</f>
        <v>0</v>
      </c>
      <c r="N96" s="22">
        <f t="shared" ref="N96" si="58">L96+M96</f>
        <v>0</v>
      </c>
      <c r="O96" s="61"/>
    </row>
    <row r="97" spans="1:18" ht="15.75" x14ac:dyDescent="0.2">
      <c r="A97" s="114">
        <f>IF(G97&lt;&gt;"",1+MAX($A$6:A96),"")</f>
        <v>54</v>
      </c>
      <c r="B97" s="115"/>
      <c r="C97" s="13"/>
      <c r="D97" s="65"/>
      <c r="E97" s="183" t="s">
        <v>153</v>
      </c>
      <c r="F97" s="184" t="s">
        <v>12</v>
      </c>
      <c r="G97" s="184">
        <v>23879.38</v>
      </c>
      <c r="H97" s="6">
        <v>7.0000000000000007E-2</v>
      </c>
      <c r="I97" s="16">
        <f t="shared" ref="I97" si="59">G97*(1+H97)</f>
        <v>25550.936600000001</v>
      </c>
      <c r="J97" s="21">
        <v>0</v>
      </c>
      <c r="K97" s="21">
        <v>0</v>
      </c>
      <c r="L97" s="112">
        <f>J97*I97</f>
        <v>0</v>
      </c>
      <c r="M97" s="112">
        <f>K97*I97</f>
        <v>0</v>
      </c>
      <c r="N97" s="22">
        <f t="shared" ref="N97" si="60">L97+M97</f>
        <v>0</v>
      </c>
      <c r="O97" s="61"/>
    </row>
    <row r="98" spans="1:18" ht="15.75" x14ac:dyDescent="0.2">
      <c r="A98" s="114">
        <f>IF(G98&lt;&gt;"",1+MAX($A$6:A97),"")</f>
        <v>55</v>
      </c>
      <c r="B98" s="115"/>
      <c r="C98" s="13"/>
      <c r="D98" s="65"/>
      <c r="E98" s="183" t="s">
        <v>154</v>
      </c>
      <c r="F98" s="184" t="s">
        <v>12</v>
      </c>
      <c r="G98" s="184">
        <v>23879.38</v>
      </c>
      <c r="H98" s="6">
        <v>7.0000000000000007E-2</v>
      </c>
      <c r="I98" s="16">
        <f t="shared" ref="I98" si="61">G98*(1+H98)</f>
        <v>25550.936600000001</v>
      </c>
      <c r="J98" s="21">
        <v>0</v>
      </c>
      <c r="K98" s="21">
        <v>0</v>
      </c>
      <c r="L98" s="112">
        <f>J98*I98</f>
        <v>0</v>
      </c>
      <c r="M98" s="112">
        <f>K98*I98</f>
        <v>0</v>
      </c>
      <c r="N98" s="22">
        <f t="shared" ref="N98" si="62">L98+M98</f>
        <v>0</v>
      </c>
      <c r="O98" s="61"/>
    </row>
    <row r="99" spans="1:18" ht="15.75" x14ac:dyDescent="0.2">
      <c r="A99" s="114" t="str">
        <f>IF(G99&lt;&gt;"",1+MAX($A$6:A98),"")</f>
        <v/>
      </c>
      <c r="B99" s="115" t="s">
        <v>158</v>
      </c>
      <c r="C99" s="13"/>
      <c r="D99" s="65"/>
      <c r="E99" s="214" t="s">
        <v>155</v>
      </c>
      <c r="F99" s="184"/>
      <c r="G99" s="184"/>
      <c r="H99" s="6"/>
      <c r="I99" s="16"/>
      <c r="J99" s="24"/>
      <c r="K99" s="24"/>
      <c r="L99" s="112"/>
      <c r="M99" s="112"/>
      <c r="N99" s="22"/>
      <c r="O99" s="61"/>
    </row>
    <row r="100" spans="1:18" ht="15.75" x14ac:dyDescent="0.2">
      <c r="A100" s="114">
        <f>IF(G100&lt;&gt;"",1+MAX($A$6:A99),"")</f>
        <v>56</v>
      </c>
      <c r="B100" s="115"/>
      <c r="C100" s="13"/>
      <c r="D100" s="65"/>
      <c r="E100" s="183" t="s">
        <v>156</v>
      </c>
      <c r="F100" s="215" t="s">
        <v>12</v>
      </c>
      <c r="G100" s="215">
        <v>26598.2</v>
      </c>
      <c r="H100" s="6">
        <v>7.0000000000000007E-2</v>
      </c>
      <c r="I100" s="16">
        <f t="shared" ref="I100" si="63">G100*(1+H100)</f>
        <v>28460.074000000004</v>
      </c>
      <c r="J100" s="21">
        <v>0</v>
      </c>
      <c r="K100" s="21">
        <v>0</v>
      </c>
      <c r="L100" s="112">
        <f>J100*I100</f>
        <v>0</v>
      </c>
      <c r="M100" s="112">
        <f>K100*I100</f>
        <v>0</v>
      </c>
      <c r="N100" s="22">
        <f t="shared" ref="N100" si="64">L100+M100</f>
        <v>0</v>
      </c>
      <c r="O100" s="61"/>
    </row>
    <row r="101" spans="1:18" ht="15.75" x14ac:dyDescent="0.2">
      <c r="A101" s="114">
        <f>IF(G101&lt;&gt;"",1+MAX($A$6:A100),"")</f>
        <v>57</v>
      </c>
      <c r="B101" s="115"/>
      <c r="C101" s="13"/>
      <c r="D101" s="65"/>
      <c r="E101" s="183" t="s">
        <v>157</v>
      </c>
      <c r="F101" s="216" t="s">
        <v>12</v>
      </c>
      <c r="G101" s="216">
        <v>26598.2</v>
      </c>
      <c r="H101" s="6">
        <v>7.0000000000000007E-2</v>
      </c>
      <c r="I101" s="16">
        <f t="shared" ref="I101" si="65">G101*(1+H101)</f>
        <v>28460.074000000004</v>
      </c>
      <c r="J101" s="21">
        <v>0</v>
      </c>
      <c r="K101" s="21">
        <v>0</v>
      </c>
      <c r="L101" s="112">
        <f>J101*I101</f>
        <v>0</v>
      </c>
      <c r="M101" s="112">
        <f>K101*I101</f>
        <v>0</v>
      </c>
      <c r="N101" s="22">
        <f t="shared" ref="N101" si="66">L101+M101</f>
        <v>0</v>
      </c>
      <c r="O101" s="61"/>
    </row>
    <row r="102" spans="1:18" ht="15.75" x14ac:dyDescent="0.2">
      <c r="A102" s="114" t="str">
        <f>IF(G102&lt;&gt;"",1+MAX($A$6:A101),"")</f>
        <v/>
      </c>
      <c r="B102" s="115" t="s">
        <v>286</v>
      </c>
      <c r="C102" s="13"/>
      <c r="D102" s="65"/>
      <c r="E102" s="214" t="s">
        <v>290</v>
      </c>
      <c r="F102" s="184"/>
      <c r="G102" s="184"/>
      <c r="H102" s="6"/>
      <c r="I102" s="16"/>
      <c r="J102" s="24"/>
      <c r="K102" s="24"/>
      <c r="L102" s="112"/>
      <c r="M102" s="112"/>
      <c r="N102" s="22"/>
      <c r="O102" s="61"/>
    </row>
    <row r="103" spans="1:18" ht="15.75" x14ac:dyDescent="0.2">
      <c r="A103" s="114">
        <f>IF(G103&lt;&gt;"",1+MAX($A$6:A102),"")</f>
        <v>58</v>
      </c>
      <c r="B103" s="115"/>
      <c r="C103" s="13"/>
      <c r="D103" s="65"/>
      <c r="E103" s="183" t="s">
        <v>291</v>
      </c>
      <c r="F103" s="237" t="s">
        <v>12</v>
      </c>
      <c r="G103" s="237">
        <f>270*2</f>
        <v>540</v>
      </c>
      <c r="H103" s="6">
        <v>7.0000000000000007E-2</v>
      </c>
      <c r="I103" s="16">
        <f t="shared" ref="I103:I105" si="67">G103*(1+H103)</f>
        <v>577.80000000000007</v>
      </c>
      <c r="J103" s="21">
        <v>0</v>
      </c>
      <c r="K103" s="21">
        <v>0</v>
      </c>
      <c r="L103" s="112">
        <f>J103*I103</f>
        <v>0</v>
      </c>
      <c r="M103" s="112">
        <f>K103*I103</f>
        <v>0</v>
      </c>
      <c r="N103" s="22">
        <f t="shared" ref="N103:N105" si="68">L103+M103</f>
        <v>0</v>
      </c>
      <c r="O103" s="61"/>
    </row>
    <row r="104" spans="1:18" ht="15.75" x14ac:dyDescent="0.2">
      <c r="A104" s="114">
        <f>IF(G104&lt;&gt;"",1+MAX($A$6:A103),"")</f>
        <v>59</v>
      </c>
      <c r="B104" s="115"/>
      <c r="C104" s="13"/>
      <c r="D104" s="65"/>
      <c r="E104" s="183" t="s">
        <v>292</v>
      </c>
      <c r="F104" s="237" t="s">
        <v>12</v>
      </c>
      <c r="G104" s="237">
        <f>270*2</f>
        <v>540</v>
      </c>
      <c r="H104" s="6">
        <v>7.0000000000000007E-2</v>
      </c>
      <c r="I104" s="16">
        <f t="shared" ref="I104" si="69">G104*(1+H104)</f>
        <v>577.80000000000007</v>
      </c>
      <c r="J104" s="21">
        <v>0</v>
      </c>
      <c r="K104" s="21">
        <v>0</v>
      </c>
      <c r="L104" s="112">
        <f>J104*I104</f>
        <v>0</v>
      </c>
      <c r="M104" s="112">
        <f>K104*I104</f>
        <v>0</v>
      </c>
      <c r="N104" s="22">
        <f t="shared" ref="N104" si="70">L104+M104</f>
        <v>0</v>
      </c>
      <c r="O104" s="61"/>
    </row>
    <row r="105" spans="1:18" ht="15.75" x14ac:dyDescent="0.2">
      <c r="A105" s="114">
        <f>IF(G105&lt;&gt;"",1+MAX($A$6:A104),"")</f>
        <v>60</v>
      </c>
      <c r="B105" s="115"/>
      <c r="C105" s="13"/>
      <c r="D105" s="65"/>
      <c r="E105" s="183" t="s">
        <v>293</v>
      </c>
      <c r="F105" s="237" t="s">
        <v>12</v>
      </c>
      <c r="G105" s="237">
        <f>270*2</f>
        <v>540</v>
      </c>
      <c r="H105" s="6">
        <v>7.0000000000000007E-2</v>
      </c>
      <c r="I105" s="16">
        <f t="shared" si="67"/>
        <v>577.80000000000007</v>
      </c>
      <c r="J105" s="21">
        <v>0</v>
      </c>
      <c r="K105" s="21">
        <v>0</v>
      </c>
      <c r="L105" s="112">
        <f>J105*I105</f>
        <v>0</v>
      </c>
      <c r="M105" s="112">
        <f>K105*I105</f>
        <v>0</v>
      </c>
      <c r="N105" s="22">
        <f t="shared" si="68"/>
        <v>0</v>
      </c>
      <c r="O105" s="61"/>
    </row>
    <row r="106" spans="1:18" ht="16.5" thickBot="1" x14ac:dyDescent="0.25">
      <c r="A106" s="114">
        <f>IF(G106&lt;&gt;"",1+MAX($A$6:A105),"")</f>
        <v>61</v>
      </c>
      <c r="B106" s="115"/>
      <c r="C106" s="13"/>
      <c r="D106" s="65"/>
      <c r="E106" s="183" t="s">
        <v>294</v>
      </c>
      <c r="F106" s="237" t="s">
        <v>94</v>
      </c>
      <c r="G106" s="237">
        <f>46*2</f>
        <v>92</v>
      </c>
      <c r="H106" s="6">
        <v>7.0000000000000007E-2</v>
      </c>
      <c r="I106" s="16">
        <f t="shared" ref="I106" si="71">G106*(1+H106)</f>
        <v>98.440000000000012</v>
      </c>
      <c r="J106" s="21">
        <v>0</v>
      </c>
      <c r="K106" s="21">
        <v>0</v>
      </c>
      <c r="L106" s="112">
        <f>J106*I106</f>
        <v>0</v>
      </c>
      <c r="M106" s="112">
        <f>K106*I106</f>
        <v>0</v>
      </c>
      <c r="N106" s="22">
        <f t="shared" ref="N106" si="72">L106+M106</f>
        <v>0</v>
      </c>
      <c r="O106" s="61"/>
    </row>
    <row r="107" spans="1:18" ht="15.75" thickBot="1" x14ac:dyDescent="0.2">
      <c r="A107" s="114" t="str">
        <f>IF(G107&lt;&gt;"",1+MAX($A$6:A106),"")</f>
        <v/>
      </c>
      <c r="B107" s="115"/>
      <c r="C107" s="50"/>
      <c r="D107" s="51"/>
      <c r="E107" s="259" t="s">
        <v>148</v>
      </c>
      <c r="F107" s="260"/>
      <c r="G107" s="261"/>
      <c r="H107" s="52"/>
      <c r="I107" s="53"/>
      <c r="J107" s="54"/>
      <c r="K107" s="54"/>
      <c r="L107" s="54"/>
      <c r="M107" s="54"/>
      <c r="N107" s="55"/>
      <c r="O107" s="19"/>
    </row>
    <row r="108" spans="1:18" s="121" customFormat="1" ht="16.5" thickBot="1" x14ac:dyDescent="0.25">
      <c r="A108" s="114">
        <f>IF(G108&lt;&gt;"",1+MAX($A$6:A107),"")</f>
        <v>62</v>
      </c>
      <c r="B108" s="115" t="s">
        <v>158</v>
      </c>
      <c r="C108" s="116"/>
      <c r="D108" s="132"/>
      <c r="E108" s="204" t="s">
        <v>147</v>
      </c>
      <c r="F108" s="205" t="s">
        <v>94</v>
      </c>
      <c r="G108" s="205">
        <v>592.21</v>
      </c>
      <c r="H108" s="133">
        <v>7.0000000000000007E-2</v>
      </c>
      <c r="I108" s="118">
        <f t="shared" ref="I108:I113" si="73">G108*(1+H108)</f>
        <v>633.66470000000004</v>
      </c>
      <c r="J108" s="21">
        <v>0</v>
      </c>
      <c r="K108" s="21">
        <v>0</v>
      </c>
      <c r="L108" s="112">
        <f>J108*I108</f>
        <v>0</v>
      </c>
      <c r="M108" s="112">
        <f>K108*I108</f>
        <v>0</v>
      </c>
      <c r="N108" s="22">
        <f>L108+M108</f>
        <v>0</v>
      </c>
      <c r="O108" s="120"/>
      <c r="P108" s="134"/>
      <c r="Q108" s="134"/>
      <c r="R108" s="134"/>
    </row>
    <row r="109" spans="1:18" ht="15.75" thickBot="1" x14ac:dyDescent="0.2">
      <c r="A109" s="114" t="str">
        <f>IF(G109&lt;&gt;"",1+MAX($A$6:A108),"")</f>
        <v/>
      </c>
      <c r="B109" s="115"/>
      <c r="C109" s="50"/>
      <c r="D109" s="132"/>
      <c r="E109" s="259" t="s">
        <v>100</v>
      </c>
      <c r="F109" s="260"/>
      <c r="G109" s="261"/>
      <c r="H109" s="52"/>
      <c r="I109" s="53"/>
      <c r="J109" s="54"/>
      <c r="K109" s="54"/>
      <c r="L109" s="54"/>
      <c r="M109" s="54"/>
      <c r="N109" s="55"/>
      <c r="O109" s="19"/>
    </row>
    <row r="110" spans="1:18" ht="30" x14ac:dyDescent="0.2">
      <c r="A110" s="114">
        <f>IF(G110&lt;&gt;"",1+MAX($A$6:A109),"")</f>
        <v>63</v>
      </c>
      <c r="B110" s="115" t="s">
        <v>146</v>
      </c>
      <c r="C110" s="116"/>
      <c r="D110" s="67"/>
      <c r="E110" s="212" t="s">
        <v>142</v>
      </c>
      <c r="F110" s="213" t="s">
        <v>12</v>
      </c>
      <c r="G110" s="213">
        <v>17185.490000000002</v>
      </c>
      <c r="H110" s="6">
        <v>7.0000000000000007E-2</v>
      </c>
      <c r="I110" s="16">
        <f t="shared" si="73"/>
        <v>18388.474300000002</v>
      </c>
      <c r="J110" s="21">
        <v>0</v>
      </c>
      <c r="K110" s="21">
        <v>0</v>
      </c>
      <c r="L110" s="112">
        <f t="shared" ref="L110:L113" si="74">J110*I110</f>
        <v>0</v>
      </c>
      <c r="M110" s="112">
        <f t="shared" ref="M110:M113" si="75">K110*I110</f>
        <v>0</v>
      </c>
      <c r="N110" s="22">
        <f t="shared" ref="N110:N113" si="76">L110+M110</f>
        <v>0</v>
      </c>
      <c r="O110" s="19"/>
    </row>
    <row r="111" spans="1:18" ht="30" x14ac:dyDescent="0.2">
      <c r="A111" s="114">
        <f>IF(G111&lt;&gt;"",1+MAX($A$6:A110),"")</f>
        <v>64</v>
      </c>
      <c r="B111" s="115" t="s">
        <v>146</v>
      </c>
      <c r="C111" s="13"/>
      <c r="D111" s="65"/>
      <c r="E111" s="212" t="s">
        <v>143</v>
      </c>
      <c r="F111" s="213" t="s">
        <v>12</v>
      </c>
      <c r="G111" s="213">
        <v>3532.64</v>
      </c>
      <c r="H111" s="6">
        <v>7.0000000000000007E-2</v>
      </c>
      <c r="I111" s="16">
        <f t="shared" si="73"/>
        <v>3779.9248000000002</v>
      </c>
      <c r="J111" s="21">
        <v>0</v>
      </c>
      <c r="K111" s="21">
        <v>0</v>
      </c>
      <c r="L111" s="112">
        <f t="shared" si="74"/>
        <v>0</v>
      </c>
      <c r="M111" s="112">
        <f t="shared" si="75"/>
        <v>0</v>
      </c>
      <c r="N111" s="22">
        <f t="shared" si="76"/>
        <v>0</v>
      </c>
      <c r="O111" s="61"/>
    </row>
    <row r="112" spans="1:18" ht="30" x14ac:dyDescent="0.2">
      <c r="A112" s="114">
        <f>IF(G112&lt;&gt;"",1+MAX($A$6:A111),"")</f>
        <v>65</v>
      </c>
      <c r="B112" s="115" t="s">
        <v>146</v>
      </c>
      <c r="C112" s="13"/>
      <c r="D112" s="12"/>
      <c r="E112" s="212" t="s">
        <v>144</v>
      </c>
      <c r="F112" s="213" t="s">
        <v>12</v>
      </c>
      <c r="G112" s="213">
        <v>782.39</v>
      </c>
      <c r="H112" s="6">
        <v>7.0000000000000007E-2</v>
      </c>
      <c r="I112" s="16">
        <f t="shared" si="73"/>
        <v>837.15730000000008</v>
      </c>
      <c r="J112" s="21">
        <v>0</v>
      </c>
      <c r="K112" s="21">
        <v>0</v>
      </c>
      <c r="L112" s="112">
        <f t="shared" si="74"/>
        <v>0</v>
      </c>
      <c r="M112" s="112">
        <f t="shared" si="75"/>
        <v>0</v>
      </c>
      <c r="N112" s="22">
        <f t="shared" si="76"/>
        <v>0</v>
      </c>
      <c r="O112" s="19"/>
    </row>
    <row r="113" spans="1:18" ht="30" x14ac:dyDescent="0.2">
      <c r="A113" s="114">
        <f>IF(G113&lt;&gt;"",1+MAX($A$6:A112),"")</f>
        <v>66</v>
      </c>
      <c r="B113" s="115" t="s">
        <v>146</v>
      </c>
      <c r="C113" s="13"/>
      <c r="D113" s="12"/>
      <c r="E113" s="212" t="s">
        <v>145</v>
      </c>
      <c r="F113" s="213" t="s">
        <v>12</v>
      </c>
      <c r="G113" s="213">
        <v>3812.02</v>
      </c>
      <c r="H113" s="6">
        <v>7.0000000000000007E-2</v>
      </c>
      <c r="I113" s="16">
        <f t="shared" si="73"/>
        <v>4078.8614000000002</v>
      </c>
      <c r="J113" s="21">
        <v>0</v>
      </c>
      <c r="K113" s="21">
        <v>0</v>
      </c>
      <c r="L113" s="112">
        <f t="shared" si="74"/>
        <v>0</v>
      </c>
      <c r="M113" s="112">
        <f t="shared" si="75"/>
        <v>0</v>
      </c>
      <c r="N113" s="22">
        <f t="shared" si="76"/>
        <v>0</v>
      </c>
      <c r="O113" s="19"/>
    </row>
    <row r="114" spans="1:18" ht="15.75" x14ac:dyDescent="0.2">
      <c r="A114" s="114">
        <f>IF(G114&lt;&gt;"",1+MAX($A$6:A113),"")</f>
        <v>67</v>
      </c>
      <c r="B114" s="115" t="s">
        <v>286</v>
      </c>
      <c r="C114" s="13"/>
      <c r="D114" s="12"/>
      <c r="E114" s="219" t="s">
        <v>295</v>
      </c>
      <c r="F114" s="237" t="s">
        <v>12</v>
      </c>
      <c r="G114" s="237">
        <f>46*8*2</f>
        <v>736</v>
      </c>
      <c r="H114" s="6">
        <v>7.0000000000000007E-2</v>
      </c>
      <c r="I114" s="16">
        <f t="shared" ref="I114" si="77">G114*(1+H114)</f>
        <v>787.5200000000001</v>
      </c>
      <c r="J114" s="21">
        <v>0</v>
      </c>
      <c r="K114" s="21">
        <v>0</v>
      </c>
      <c r="L114" s="112">
        <f t="shared" ref="L114" si="78">J114*I114</f>
        <v>0</v>
      </c>
      <c r="M114" s="112">
        <f t="shared" ref="M114" si="79">K114*I114</f>
        <v>0</v>
      </c>
      <c r="N114" s="22">
        <f t="shared" ref="N114" si="80">L114+M114</f>
        <v>0</v>
      </c>
      <c r="O114" s="19"/>
    </row>
    <row r="115" spans="1:18" ht="15.75" thickBot="1" x14ac:dyDescent="0.2">
      <c r="A115" s="114" t="str">
        <f>IF(G115&lt;&gt;"",1+MAX($A$6:A114),"")</f>
        <v/>
      </c>
      <c r="B115" s="115"/>
      <c r="C115" s="13"/>
      <c r="D115" s="12"/>
      <c r="E115" s="66"/>
      <c r="F115" s="119"/>
      <c r="G115" s="11"/>
      <c r="H115" s="15"/>
      <c r="I115" s="16"/>
      <c r="J115" s="24"/>
      <c r="K115" s="24"/>
      <c r="L115" s="24"/>
      <c r="M115" s="24"/>
      <c r="N115" s="22"/>
      <c r="O115" s="19"/>
    </row>
    <row r="116" spans="1:18" ht="16.5" thickBot="1" x14ac:dyDescent="0.25">
      <c r="A116" s="114" t="str">
        <f>IF(G116&lt;&gt;"",1+MAX($A$6:A115),"")</f>
        <v/>
      </c>
      <c r="B116" s="117"/>
      <c r="C116" s="12"/>
      <c r="D116" s="70"/>
      <c r="E116" s="71" t="s">
        <v>40</v>
      </c>
      <c r="F116" s="119"/>
      <c r="G116" s="64"/>
      <c r="H116" s="72"/>
      <c r="I116" s="16"/>
      <c r="J116" s="73"/>
      <c r="K116" s="73"/>
      <c r="L116" s="73"/>
      <c r="M116" s="73"/>
      <c r="N116" s="74"/>
      <c r="O116" s="75">
        <f>SUM(N93:N115)</f>
        <v>0</v>
      </c>
      <c r="P116" s="76"/>
    </row>
    <row r="117" spans="1:18" ht="15.75" thickBot="1" x14ac:dyDescent="0.2">
      <c r="A117" s="114" t="str">
        <f>IF(G117&lt;&gt;"",1+MAX($A$6:A116),"")</f>
        <v/>
      </c>
      <c r="B117" s="115"/>
      <c r="C117" s="13"/>
      <c r="D117" s="69"/>
      <c r="E117" s="57"/>
      <c r="F117" s="119"/>
      <c r="G117" s="11"/>
      <c r="H117" s="6"/>
      <c r="I117" s="16"/>
      <c r="J117" s="24"/>
      <c r="K117" s="24"/>
      <c r="L117" s="24"/>
      <c r="M117" s="24"/>
      <c r="N117" s="22"/>
      <c r="O117" s="61"/>
    </row>
    <row r="118" spans="1:18" s="49" customFormat="1" ht="15.75" thickBot="1" x14ac:dyDescent="0.2">
      <c r="A118" s="114" t="str">
        <f>IF(G118&lt;&gt;"",1+MAX($A$6:A117),"")</f>
        <v/>
      </c>
      <c r="B118" s="124"/>
      <c r="C118" s="41"/>
      <c r="D118" s="42" t="s">
        <v>46</v>
      </c>
      <c r="E118" s="43" t="s">
        <v>47</v>
      </c>
      <c r="F118" s="193"/>
      <c r="G118" s="44"/>
      <c r="H118" s="45"/>
      <c r="I118" s="45"/>
      <c r="J118" s="46"/>
      <c r="K118" s="46"/>
      <c r="L118" s="46"/>
      <c r="M118" s="46"/>
      <c r="N118" s="47"/>
      <c r="O118" s="48"/>
      <c r="P118" s="137"/>
    </row>
    <row r="119" spans="1:18" ht="15.75" thickBot="1" x14ac:dyDescent="0.2">
      <c r="A119" s="114" t="str">
        <f>IF(G119&lt;&gt;"",1+MAX($A$6:A118),"")</f>
        <v/>
      </c>
      <c r="B119" s="115"/>
      <c r="C119" s="50"/>
      <c r="D119" s="51"/>
      <c r="E119" s="259" t="s">
        <v>101</v>
      </c>
      <c r="F119" s="260"/>
      <c r="G119" s="261"/>
      <c r="H119" s="52"/>
      <c r="I119" s="53"/>
      <c r="J119" s="54"/>
      <c r="K119" s="54"/>
      <c r="L119" s="54"/>
      <c r="M119" s="54"/>
      <c r="N119" s="55"/>
      <c r="O119" s="19"/>
    </row>
    <row r="120" spans="1:18" ht="15.75" x14ac:dyDescent="0.2">
      <c r="A120" s="114">
        <f>IF(G120&lt;&gt;"",1+MAX($A$6:A119),"")</f>
        <v>68</v>
      </c>
      <c r="B120" s="115" t="s">
        <v>141</v>
      </c>
      <c r="C120" s="13"/>
      <c r="D120" s="65"/>
      <c r="E120" s="219" t="s">
        <v>168</v>
      </c>
      <c r="F120" s="220" t="s">
        <v>33</v>
      </c>
      <c r="G120" s="220">
        <v>13</v>
      </c>
      <c r="H120" s="6">
        <v>7.0000000000000007E-2</v>
      </c>
      <c r="I120" s="16">
        <f t="shared" ref="I120" si="81">G120*(1+H120)</f>
        <v>13.91</v>
      </c>
      <c r="J120" s="21">
        <v>0</v>
      </c>
      <c r="K120" s="21">
        <v>0</v>
      </c>
      <c r="L120" s="112">
        <f>J120*I120</f>
        <v>0</v>
      </c>
      <c r="M120" s="112">
        <f>K120*I120</f>
        <v>0</v>
      </c>
      <c r="N120" s="22">
        <f t="shared" ref="N120" si="82">L120+M120</f>
        <v>0</v>
      </c>
      <c r="O120" s="61"/>
    </row>
    <row r="121" spans="1:18" ht="15.75" x14ac:dyDescent="0.2">
      <c r="A121" s="114">
        <f>IF(G121&lt;&gt;"",1+MAX($A$6:A120),"")</f>
        <v>69</v>
      </c>
      <c r="B121" s="115" t="s">
        <v>141</v>
      </c>
      <c r="C121" s="13"/>
      <c r="D121" s="65"/>
      <c r="E121" s="219" t="s">
        <v>169</v>
      </c>
      <c r="F121" s="220" t="s">
        <v>33</v>
      </c>
      <c r="G121" s="220">
        <v>3</v>
      </c>
      <c r="H121" s="6">
        <v>7.0000000000000007E-2</v>
      </c>
      <c r="I121" s="16">
        <f t="shared" ref="I121" si="83">G121*(1+H121)</f>
        <v>3.21</v>
      </c>
      <c r="J121" s="21">
        <v>0</v>
      </c>
      <c r="K121" s="21">
        <v>0</v>
      </c>
      <c r="L121" s="112">
        <f>J121*I121</f>
        <v>0</v>
      </c>
      <c r="M121" s="112">
        <f>K121*I121</f>
        <v>0</v>
      </c>
      <c r="N121" s="22">
        <f t="shared" ref="N121" si="84">L121+M121</f>
        <v>0</v>
      </c>
      <c r="O121" s="61"/>
    </row>
    <row r="122" spans="1:18" ht="16.5" thickBot="1" x14ac:dyDescent="0.25">
      <c r="A122" s="114">
        <f>IF(G122&lt;&gt;"",1+MAX($A$6:A121),"")</f>
        <v>70</v>
      </c>
      <c r="B122" s="115" t="s">
        <v>141</v>
      </c>
      <c r="C122" s="13"/>
      <c r="D122" s="65"/>
      <c r="E122" s="219" t="s">
        <v>170</v>
      </c>
      <c r="F122" s="220" t="s">
        <v>12</v>
      </c>
      <c r="G122" s="220">
        <v>1020.45</v>
      </c>
      <c r="H122" s="6">
        <v>7.0000000000000007E-2</v>
      </c>
      <c r="I122" s="16">
        <f t="shared" ref="I122" si="85">G122*(1+H122)</f>
        <v>1091.8815000000002</v>
      </c>
      <c r="J122" s="21">
        <v>0</v>
      </c>
      <c r="K122" s="21">
        <v>0</v>
      </c>
      <c r="L122" s="112">
        <f>J122*I122</f>
        <v>0</v>
      </c>
      <c r="M122" s="112">
        <f>K122*I122</f>
        <v>0</v>
      </c>
      <c r="N122" s="22">
        <f t="shared" ref="N122" si="86">L122+M122</f>
        <v>0</v>
      </c>
      <c r="O122" s="61"/>
    </row>
    <row r="123" spans="1:18" ht="15.75" thickBot="1" x14ac:dyDescent="0.2">
      <c r="A123" s="114" t="str">
        <f>IF(G123&lt;&gt;"",1+MAX($A$6:A122),"")</f>
        <v/>
      </c>
      <c r="B123" s="115"/>
      <c r="C123" s="50"/>
      <c r="D123" s="51"/>
      <c r="E123" s="259" t="s">
        <v>173</v>
      </c>
      <c r="F123" s="260"/>
      <c r="G123" s="261"/>
      <c r="H123" s="52"/>
      <c r="I123" s="53"/>
      <c r="J123" s="54"/>
      <c r="K123" s="54"/>
      <c r="L123" s="54"/>
      <c r="M123" s="54"/>
      <c r="N123" s="55"/>
      <c r="O123" s="19"/>
    </row>
    <row r="124" spans="1:18" ht="15.75" x14ac:dyDescent="0.2">
      <c r="A124" s="114">
        <f>IF(G124&lt;&gt;"",1+MAX($A$6:A123),"")</f>
        <v>71</v>
      </c>
      <c r="B124" s="115" t="s">
        <v>146</v>
      </c>
      <c r="C124" s="13"/>
      <c r="D124" s="65"/>
      <c r="E124" s="219" t="s">
        <v>171</v>
      </c>
      <c r="F124" s="220" t="s">
        <v>33</v>
      </c>
      <c r="G124" s="220">
        <v>29</v>
      </c>
      <c r="H124" s="6">
        <v>7.0000000000000007E-2</v>
      </c>
      <c r="I124" s="16">
        <f t="shared" ref="I124" si="87">G124*(1+H124)</f>
        <v>31.03</v>
      </c>
      <c r="J124" s="21">
        <v>0</v>
      </c>
      <c r="K124" s="21">
        <v>0</v>
      </c>
      <c r="L124" s="112">
        <f>J124*I124</f>
        <v>0</v>
      </c>
      <c r="M124" s="112">
        <f>K124*I124</f>
        <v>0</v>
      </c>
      <c r="N124" s="22">
        <f t="shared" ref="N124" si="88">L124+M124</f>
        <v>0</v>
      </c>
      <c r="O124" s="61"/>
    </row>
    <row r="125" spans="1:18" ht="16.5" thickBot="1" x14ac:dyDescent="0.25">
      <c r="A125" s="114">
        <f>IF(G125&lt;&gt;"",1+MAX($A$6:A124),"")</f>
        <v>72</v>
      </c>
      <c r="B125" s="115" t="s">
        <v>146</v>
      </c>
      <c r="C125" s="13"/>
      <c r="D125" s="65"/>
      <c r="E125" s="219" t="s">
        <v>172</v>
      </c>
      <c r="F125" s="220" t="s">
        <v>33</v>
      </c>
      <c r="G125" s="220">
        <v>1</v>
      </c>
      <c r="H125" s="6">
        <v>7.0000000000000007E-2</v>
      </c>
      <c r="I125" s="16">
        <f t="shared" ref="I125" si="89">G125*(1+H125)</f>
        <v>1.07</v>
      </c>
      <c r="J125" s="21">
        <v>0</v>
      </c>
      <c r="K125" s="21">
        <v>0</v>
      </c>
      <c r="L125" s="112">
        <f>J125*I125</f>
        <v>0</v>
      </c>
      <c r="M125" s="112">
        <f>K125*I125</f>
        <v>0</v>
      </c>
      <c r="N125" s="22">
        <f t="shared" ref="N125" si="90">L125+M125</f>
        <v>0</v>
      </c>
      <c r="O125" s="61"/>
    </row>
    <row r="126" spans="1:18" ht="15.75" thickBot="1" x14ac:dyDescent="0.2">
      <c r="A126" s="114" t="str">
        <f>IF(G126&lt;&gt;"",1+MAX($A$6:A125),"")</f>
        <v/>
      </c>
      <c r="B126" s="115"/>
      <c r="C126" s="50"/>
      <c r="D126" s="51"/>
      <c r="E126" s="259" t="s">
        <v>48</v>
      </c>
      <c r="F126" s="260"/>
      <c r="G126" s="261"/>
      <c r="H126" s="52"/>
      <c r="I126" s="53"/>
      <c r="J126" s="54"/>
      <c r="K126" s="54"/>
      <c r="L126" s="54"/>
      <c r="M126" s="54"/>
      <c r="N126" s="55"/>
      <c r="O126" s="19"/>
    </row>
    <row r="127" spans="1:18" s="121" customFormat="1" ht="15.75" x14ac:dyDescent="0.2">
      <c r="A127" s="114">
        <f>IF(G127&lt;&gt;"",1+MAX($A$6:A126),"")</f>
        <v>73</v>
      </c>
      <c r="B127" s="115" t="s">
        <v>141</v>
      </c>
      <c r="C127" s="116"/>
      <c r="D127" s="132"/>
      <c r="E127" s="217" t="s">
        <v>159</v>
      </c>
      <c r="F127" s="218" t="s">
        <v>33</v>
      </c>
      <c r="G127" s="218">
        <v>4</v>
      </c>
      <c r="H127" s="133">
        <v>7.0000000000000007E-2</v>
      </c>
      <c r="I127" s="118">
        <f t="shared" ref="I127:I128" si="91">G127*(1+H127)</f>
        <v>4.28</v>
      </c>
      <c r="J127" s="21">
        <v>0</v>
      </c>
      <c r="K127" s="21">
        <v>0</v>
      </c>
      <c r="L127" s="112">
        <f t="shared" ref="L127:L135" si="92">J127*I127</f>
        <v>0</v>
      </c>
      <c r="M127" s="112">
        <f t="shared" ref="M127:M135" si="93">K127*I127</f>
        <v>0</v>
      </c>
      <c r="N127" s="22">
        <f>L127+M127</f>
        <v>0</v>
      </c>
      <c r="O127" s="120"/>
      <c r="P127" s="134"/>
      <c r="Q127" s="134"/>
      <c r="R127" s="134"/>
    </row>
    <row r="128" spans="1:18" ht="15.75" x14ac:dyDescent="0.2">
      <c r="A128" s="114">
        <f>IF(G128&lt;&gt;"",1+MAX($A$6:A127),"")</f>
        <v>74</v>
      </c>
      <c r="B128" s="115" t="s">
        <v>141</v>
      </c>
      <c r="C128" s="116"/>
      <c r="D128" s="67"/>
      <c r="E128" s="217" t="s">
        <v>160</v>
      </c>
      <c r="F128" s="218" t="s">
        <v>33</v>
      </c>
      <c r="G128" s="218">
        <v>1</v>
      </c>
      <c r="H128" s="6">
        <v>7.0000000000000007E-2</v>
      </c>
      <c r="I128" s="16">
        <f t="shared" si="91"/>
        <v>1.07</v>
      </c>
      <c r="J128" s="21">
        <v>0</v>
      </c>
      <c r="K128" s="21">
        <v>0</v>
      </c>
      <c r="L128" s="112">
        <f t="shared" si="92"/>
        <v>0</v>
      </c>
      <c r="M128" s="112">
        <f t="shared" si="93"/>
        <v>0</v>
      </c>
      <c r="N128" s="22">
        <f t="shared" ref="N128" si="94">L128+M128</f>
        <v>0</v>
      </c>
      <c r="O128" s="19"/>
    </row>
    <row r="129" spans="1:18" ht="15.75" x14ac:dyDescent="0.2">
      <c r="A129" s="114">
        <f>IF(G129&lt;&gt;"",1+MAX($A$6:A128),"")</f>
        <v>75</v>
      </c>
      <c r="B129" s="115" t="s">
        <v>141</v>
      </c>
      <c r="C129" s="116"/>
      <c r="D129" s="67"/>
      <c r="E129" s="217" t="s">
        <v>161</v>
      </c>
      <c r="F129" s="218" t="s">
        <v>33</v>
      </c>
      <c r="G129" s="218">
        <v>3</v>
      </c>
      <c r="H129" s="6">
        <v>7.0000000000000007E-2</v>
      </c>
      <c r="I129" s="16">
        <f t="shared" ref="I129" si="95">G129*(1+H129)</f>
        <v>3.21</v>
      </c>
      <c r="J129" s="21">
        <v>0</v>
      </c>
      <c r="K129" s="21">
        <v>0</v>
      </c>
      <c r="L129" s="112">
        <f t="shared" si="92"/>
        <v>0</v>
      </c>
      <c r="M129" s="112">
        <f t="shared" si="93"/>
        <v>0</v>
      </c>
      <c r="N129" s="22">
        <f t="shared" ref="N129" si="96">L129+M129</f>
        <v>0</v>
      </c>
      <c r="O129" s="19"/>
    </row>
    <row r="130" spans="1:18" ht="15.75" x14ac:dyDescent="0.2">
      <c r="A130" s="114">
        <f>IF(G130&lt;&gt;"",1+MAX($A$6:A129),"")</f>
        <v>76</v>
      </c>
      <c r="B130" s="115" t="s">
        <v>141</v>
      </c>
      <c r="C130" s="116"/>
      <c r="D130" s="67"/>
      <c r="E130" s="217" t="s">
        <v>162</v>
      </c>
      <c r="F130" s="218" t="s">
        <v>33</v>
      </c>
      <c r="G130" s="218">
        <v>2</v>
      </c>
      <c r="H130" s="6">
        <v>7.0000000000000007E-2</v>
      </c>
      <c r="I130" s="16">
        <f t="shared" ref="I130" si="97">G130*(1+H130)</f>
        <v>2.14</v>
      </c>
      <c r="J130" s="21">
        <v>0</v>
      </c>
      <c r="K130" s="21">
        <v>0</v>
      </c>
      <c r="L130" s="112">
        <f t="shared" si="92"/>
        <v>0</v>
      </c>
      <c r="M130" s="112">
        <f t="shared" si="93"/>
        <v>0</v>
      </c>
      <c r="N130" s="22">
        <f t="shared" ref="N130" si="98">L130+M130</f>
        <v>0</v>
      </c>
      <c r="O130" s="19"/>
    </row>
    <row r="131" spans="1:18" ht="15.75" x14ac:dyDescent="0.2">
      <c r="A131" s="114">
        <f>IF(G131&lt;&gt;"",1+MAX($A$6:A130),"")</f>
        <v>77</v>
      </c>
      <c r="B131" s="115" t="s">
        <v>141</v>
      </c>
      <c r="C131" s="116"/>
      <c r="D131" s="67"/>
      <c r="E131" s="217" t="s">
        <v>163</v>
      </c>
      <c r="F131" s="218" t="s">
        <v>33</v>
      </c>
      <c r="G131" s="218">
        <v>7</v>
      </c>
      <c r="H131" s="6">
        <v>7.0000000000000007E-2</v>
      </c>
      <c r="I131" s="16">
        <f t="shared" ref="I131" si="99">G131*(1+H131)</f>
        <v>7.49</v>
      </c>
      <c r="J131" s="21">
        <v>0</v>
      </c>
      <c r="K131" s="21">
        <v>0</v>
      </c>
      <c r="L131" s="112">
        <f t="shared" si="92"/>
        <v>0</v>
      </c>
      <c r="M131" s="112">
        <f t="shared" si="93"/>
        <v>0</v>
      </c>
      <c r="N131" s="22">
        <f t="shared" ref="N131" si="100">L131+M131</f>
        <v>0</v>
      </c>
      <c r="O131" s="19"/>
    </row>
    <row r="132" spans="1:18" ht="15.75" x14ac:dyDescent="0.2">
      <c r="A132" s="114">
        <f>IF(G132&lt;&gt;"",1+MAX($A$6:A131),"")</f>
        <v>78</v>
      </c>
      <c r="B132" s="115" t="s">
        <v>141</v>
      </c>
      <c r="C132" s="116"/>
      <c r="D132" s="67"/>
      <c r="E132" s="217" t="s">
        <v>164</v>
      </c>
      <c r="F132" s="218" t="s">
        <v>33</v>
      </c>
      <c r="G132" s="218">
        <v>31</v>
      </c>
      <c r="H132" s="6">
        <v>7.0000000000000007E-2</v>
      </c>
      <c r="I132" s="16">
        <f t="shared" ref="I132" si="101">G132*(1+H132)</f>
        <v>33.17</v>
      </c>
      <c r="J132" s="21">
        <v>0</v>
      </c>
      <c r="K132" s="21">
        <v>0</v>
      </c>
      <c r="L132" s="112">
        <f t="shared" si="92"/>
        <v>0</v>
      </c>
      <c r="M132" s="112">
        <f t="shared" si="93"/>
        <v>0</v>
      </c>
      <c r="N132" s="22">
        <f t="shared" ref="N132" si="102">L132+M132</f>
        <v>0</v>
      </c>
      <c r="O132" s="19"/>
    </row>
    <row r="133" spans="1:18" ht="15.75" x14ac:dyDescent="0.2">
      <c r="A133" s="114">
        <f>IF(G133&lt;&gt;"",1+MAX($A$6:A132),"")</f>
        <v>79</v>
      </c>
      <c r="B133" s="115" t="s">
        <v>141</v>
      </c>
      <c r="C133" s="116"/>
      <c r="D133" s="67"/>
      <c r="E133" s="217" t="s">
        <v>165</v>
      </c>
      <c r="F133" s="218" t="s">
        <v>33</v>
      </c>
      <c r="G133" s="218">
        <v>3</v>
      </c>
      <c r="H133" s="6">
        <v>7.0000000000000007E-2</v>
      </c>
      <c r="I133" s="16">
        <f t="shared" ref="I133" si="103">G133*(1+H133)</f>
        <v>3.21</v>
      </c>
      <c r="J133" s="21">
        <v>0</v>
      </c>
      <c r="K133" s="21">
        <v>0</v>
      </c>
      <c r="L133" s="112">
        <f t="shared" si="92"/>
        <v>0</v>
      </c>
      <c r="M133" s="112">
        <f t="shared" si="93"/>
        <v>0</v>
      </c>
      <c r="N133" s="22">
        <f t="shared" ref="N133" si="104">L133+M133</f>
        <v>0</v>
      </c>
      <c r="O133" s="19"/>
    </row>
    <row r="134" spans="1:18" ht="15.75" x14ac:dyDescent="0.2">
      <c r="A134" s="114">
        <f>IF(G134&lt;&gt;"",1+MAX($A$6:A133),"")</f>
        <v>80</v>
      </c>
      <c r="B134" s="115" t="s">
        <v>141</v>
      </c>
      <c r="C134" s="116"/>
      <c r="D134" s="67"/>
      <c r="E134" s="217" t="s">
        <v>166</v>
      </c>
      <c r="F134" s="218" t="s">
        <v>33</v>
      </c>
      <c r="G134" s="218">
        <v>1</v>
      </c>
      <c r="H134" s="6">
        <v>7.0000000000000007E-2</v>
      </c>
      <c r="I134" s="16">
        <f t="shared" ref="I134" si="105">G134*(1+H134)</f>
        <v>1.07</v>
      </c>
      <c r="J134" s="21">
        <v>0</v>
      </c>
      <c r="K134" s="21">
        <v>0</v>
      </c>
      <c r="L134" s="112">
        <f t="shared" si="92"/>
        <v>0</v>
      </c>
      <c r="M134" s="112">
        <f t="shared" si="93"/>
        <v>0</v>
      </c>
      <c r="N134" s="22">
        <f t="shared" ref="N134" si="106">L134+M134</f>
        <v>0</v>
      </c>
      <c r="O134" s="19"/>
    </row>
    <row r="135" spans="1:18" ht="15.75" x14ac:dyDescent="0.2">
      <c r="A135" s="114">
        <f>IF(G135&lt;&gt;"",1+MAX($A$6:A134),"")</f>
        <v>81</v>
      </c>
      <c r="B135" s="115" t="s">
        <v>141</v>
      </c>
      <c r="C135" s="116"/>
      <c r="D135" s="67"/>
      <c r="E135" s="217" t="s">
        <v>167</v>
      </c>
      <c r="F135" s="218" t="s">
        <v>33</v>
      </c>
      <c r="G135" s="218">
        <v>1</v>
      </c>
      <c r="H135" s="6">
        <v>7.0000000000000007E-2</v>
      </c>
      <c r="I135" s="16">
        <f t="shared" ref="I135" si="107">G135*(1+H135)</f>
        <v>1.07</v>
      </c>
      <c r="J135" s="21">
        <v>0</v>
      </c>
      <c r="K135" s="21">
        <v>0</v>
      </c>
      <c r="L135" s="112">
        <f t="shared" si="92"/>
        <v>0</v>
      </c>
      <c r="M135" s="112">
        <f t="shared" si="93"/>
        <v>0</v>
      </c>
      <c r="N135" s="22">
        <f t="shared" ref="N135" si="108">L135+M135</f>
        <v>0</v>
      </c>
      <c r="O135" s="19"/>
    </row>
    <row r="136" spans="1:18" ht="15.75" thickBot="1" x14ac:dyDescent="0.2">
      <c r="A136" s="114" t="str">
        <f>IF(G136&lt;&gt;"",1+MAX($A$6:A135),"")</f>
        <v/>
      </c>
      <c r="B136" s="115"/>
      <c r="C136" s="13"/>
      <c r="D136" s="12"/>
      <c r="E136" s="66"/>
      <c r="F136" s="119"/>
      <c r="G136" s="11"/>
      <c r="H136" s="15"/>
      <c r="I136" s="16"/>
      <c r="J136" s="24"/>
      <c r="K136" s="24"/>
      <c r="L136" s="24"/>
      <c r="M136" s="24"/>
      <c r="N136" s="22"/>
      <c r="O136" s="19"/>
    </row>
    <row r="137" spans="1:18" ht="16.5" thickBot="1" x14ac:dyDescent="0.25">
      <c r="A137" s="114" t="str">
        <f>IF(G137&lt;&gt;"",1+MAX($A$6:A136),"")</f>
        <v/>
      </c>
      <c r="B137" s="117"/>
      <c r="C137" s="12"/>
      <c r="D137" s="70"/>
      <c r="E137" s="71" t="s">
        <v>40</v>
      </c>
      <c r="F137" s="119"/>
      <c r="G137" s="64"/>
      <c r="H137" s="72"/>
      <c r="I137" s="16"/>
      <c r="J137" s="73"/>
      <c r="K137" s="73"/>
      <c r="L137" s="73"/>
      <c r="M137" s="73"/>
      <c r="N137" s="74"/>
      <c r="O137" s="75">
        <f>SUM(N120:N136)</f>
        <v>0</v>
      </c>
      <c r="P137" s="76"/>
    </row>
    <row r="138" spans="1:18" ht="15.75" thickBot="1" x14ac:dyDescent="0.2">
      <c r="A138" s="114" t="str">
        <f>IF(G138&lt;&gt;"",1+MAX($A$6:A137),"")</f>
        <v/>
      </c>
      <c r="B138" s="115"/>
      <c r="C138" s="13"/>
      <c r="D138" s="69"/>
      <c r="E138" s="57"/>
      <c r="F138" s="119"/>
      <c r="G138" s="11"/>
      <c r="H138" s="6"/>
      <c r="I138" s="16"/>
      <c r="J138" s="24"/>
      <c r="K138" s="24"/>
      <c r="L138" s="24"/>
      <c r="M138" s="24"/>
      <c r="N138" s="22"/>
      <c r="O138" s="61"/>
    </row>
    <row r="139" spans="1:18" s="49" customFormat="1" ht="15.75" thickBot="1" x14ac:dyDescent="0.2">
      <c r="A139" s="114" t="str">
        <f>IF(G139&lt;&gt;"",1+MAX($A$6:A138),"")</f>
        <v/>
      </c>
      <c r="B139" s="124"/>
      <c r="C139" s="41"/>
      <c r="D139" s="42" t="s">
        <v>49</v>
      </c>
      <c r="E139" s="43" t="s">
        <v>50</v>
      </c>
      <c r="F139" s="193"/>
      <c r="G139" s="44"/>
      <c r="H139" s="45"/>
      <c r="I139" s="45"/>
      <c r="J139" s="46"/>
      <c r="K139" s="46"/>
      <c r="L139" s="46"/>
      <c r="M139" s="46"/>
      <c r="N139" s="47"/>
      <c r="O139" s="48"/>
      <c r="P139" s="137"/>
    </row>
    <row r="140" spans="1:18" ht="15.75" thickBot="1" x14ac:dyDescent="0.2">
      <c r="A140" s="114" t="str">
        <f>IF(G140&lt;&gt;"",1+MAX($A$6:A139),"")</f>
        <v/>
      </c>
      <c r="B140" s="115"/>
      <c r="C140" s="50"/>
      <c r="D140" s="51"/>
      <c r="E140" s="259" t="s">
        <v>51</v>
      </c>
      <c r="F140" s="260"/>
      <c r="G140" s="261"/>
      <c r="H140" s="52"/>
      <c r="I140" s="53"/>
      <c r="J140" s="54"/>
      <c r="K140" s="54"/>
      <c r="L140" s="54"/>
      <c r="M140" s="54"/>
      <c r="N140" s="55"/>
      <c r="O140" s="19"/>
    </row>
    <row r="141" spans="1:18" s="121" customFormat="1" ht="15.75" x14ac:dyDescent="0.2">
      <c r="A141" s="114">
        <f>IF(G141&lt;&gt;"",1+MAX($A$6:A140),"")</f>
        <v>82</v>
      </c>
      <c r="B141" s="115" t="s">
        <v>141</v>
      </c>
      <c r="C141" s="116"/>
      <c r="D141" s="132"/>
      <c r="E141" s="225" t="s">
        <v>174</v>
      </c>
      <c r="F141" s="223" t="s">
        <v>94</v>
      </c>
      <c r="G141" s="223">
        <v>276.08</v>
      </c>
      <c r="H141" s="133"/>
      <c r="I141" s="221"/>
      <c r="J141" s="24"/>
      <c r="K141" s="24"/>
      <c r="L141" s="24"/>
      <c r="M141" s="24"/>
      <c r="N141" s="226"/>
      <c r="O141" s="120"/>
      <c r="P141" s="134"/>
      <c r="Q141" s="134"/>
      <c r="R141" s="134"/>
    </row>
    <row r="142" spans="1:18" ht="15.75" x14ac:dyDescent="0.2">
      <c r="A142" s="114">
        <f>IF(G142&lt;&gt;"",1+MAX($A$6:A141),"")</f>
        <v>83</v>
      </c>
      <c r="B142" s="115"/>
      <c r="C142" s="116"/>
      <c r="D142" s="67"/>
      <c r="E142" s="224" t="s">
        <v>175</v>
      </c>
      <c r="F142" s="222" t="s">
        <v>12</v>
      </c>
      <c r="G142" s="222">
        <v>6648</v>
      </c>
      <c r="H142" s="6">
        <v>7.0000000000000007E-2</v>
      </c>
      <c r="I142" s="16">
        <f t="shared" ref="I142" si="109">G142*(1+H142)</f>
        <v>7113.3600000000006</v>
      </c>
      <c r="J142" s="21">
        <v>0</v>
      </c>
      <c r="K142" s="21">
        <v>0</v>
      </c>
      <c r="L142" s="112">
        <f>J142*I142</f>
        <v>0</v>
      </c>
      <c r="M142" s="112">
        <f>K142*I142</f>
        <v>0</v>
      </c>
      <c r="N142" s="22">
        <f t="shared" ref="N142:N143" si="110">L142+M142</f>
        <v>0</v>
      </c>
      <c r="O142" s="19"/>
    </row>
    <row r="143" spans="1:18" ht="15.75" x14ac:dyDescent="0.2">
      <c r="A143" s="114">
        <f>IF(G143&lt;&gt;"",1+MAX($A$6:A142),"")</f>
        <v>84</v>
      </c>
      <c r="B143" s="115"/>
      <c r="C143" s="13"/>
      <c r="D143" s="12"/>
      <c r="E143" s="224" t="s">
        <v>176</v>
      </c>
      <c r="F143" s="222" t="s">
        <v>12</v>
      </c>
      <c r="G143" s="222">
        <v>6648</v>
      </c>
      <c r="H143" s="6">
        <v>7.0000000000000007E-2</v>
      </c>
      <c r="I143" s="16">
        <f t="shared" ref="I143:I144" si="111">G143*(1+H143)</f>
        <v>7113.3600000000006</v>
      </c>
      <c r="J143" s="21">
        <v>0</v>
      </c>
      <c r="K143" s="21">
        <v>0</v>
      </c>
      <c r="L143" s="112">
        <f>J143*I143</f>
        <v>0</v>
      </c>
      <c r="M143" s="112">
        <f>K143*I143</f>
        <v>0</v>
      </c>
      <c r="N143" s="22">
        <f t="shared" si="110"/>
        <v>0</v>
      </c>
      <c r="O143" s="19"/>
    </row>
    <row r="144" spans="1:18" s="121" customFormat="1" ht="15.75" x14ac:dyDescent="0.2">
      <c r="A144" s="114">
        <f>IF(G144&lt;&gt;"",1+MAX($A$6:A143),"")</f>
        <v>85</v>
      </c>
      <c r="B144" s="115"/>
      <c r="C144" s="116"/>
      <c r="D144" s="132"/>
      <c r="E144" s="224" t="s">
        <v>177</v>
      </c>
      <c r="F144" s="222" t="s">
        <v>12</v>
      </c>
      <c r="G144" s="222">
        <v>6648</v>
      </c>
      <c r="H144" s="133">
        <v>7.0000000000000007E-2</v>
      </c>
      <c r="I144" s="118">
        <f t="shared" si="111"/>
        <v>7113.3600000000006</v>
      </c>
      <c r="J144" s="21">
        <v>0</v>
      </c>
      <c r="K144" s="21">
        <v>0</v>
      </c>
      <c r="L144" s="112">
        <f>J144*I144</f>
        <v>0</v>
      </c>
      <c r="M144" s="112">
        <f>K144*I144</f>
        <v>0</v>
      </c>
      <c r="N144" s="22">
        <f>L144+M144</f>
        <v>0</v>
      </c>
      <c r="O144" s="120"/>
      <c r="P144" s="134"/>
      <c r="Q144" s="134"/>
      <c r="R144" s="134"/>
    </row>
    <row r="145" spans="1:18" ht="15.75" x14ac:dyDescent="0.2">
      <c r="A145" s="114">
        <f>IF(G145&lt;&gt;"",1+MAX($A$6:A144),"")</f>
        <v>86</v>
      </c>
      <c r="B145" s="115" t="s">
        <v>141</v>
      </c>
      <c r="C145" s="116"/>
      <c r="D145" s="67"/>
      <c r="E145" s="225" t="s">
        <v>178</v>
      </c>
      <c r="F145" s="223" t="s">
        <v>94</v>
      </c>
      <c r="G145" s="223">
        <v>156.08000000000001</v>
      </c>
      <c r="H145" s="133"/>
      <c r="I145" s="221"/>
      <c r="J145" s="24"/>
      <c r="K145" s="24"/>
      <c r="L145" s="24"/>
      <c r="M145" s="24"/>
      <c r="N145" s="226"/>
      <c r="O145" s="19"/>
    </row>
    <row r="146" spans="1:18" ht="15.75" x14ac:dyDescent="0.2">
      <c r="A146" s="114">
        <f>IF(G146&lt;&gt;"",1+MAX($A$6:A145),"")</f>
        <v>87</v>
      </c>
      <c r="B146" s="115"/>
      <c r="C146" s="13"/>
      <c r="D146" s="65"/>
      <c r="E146" s="224" t="s">
        <v>175</v>
      </c>
      <c r="F146" s="222" t="s">
        <v>12</v>
      </c>
      <c r="G146" s="222">
        <v>2826</v>
      </c>
      <c r="H146" s="6">
        <v>7.0000000000000007E-2</v>
      </c>
      <c r="I146" s="16">
        <f t="shared" ref="I146:I147" si="112">G146*(1+H146)</f>
        <v>3023.82</v>
      </c>
      <c r="J146" s="21">
        <v>0</v>
      </c>
      <c r="K146" s="21">
        <v>0</v>
      </c>
      <c r="L146" s="112">
        <f>J146*I146</f>
        <v>0</v>
      </c>
      <c r="M146" s="112">
        <f>K146*I146</f>
        <v>0</v>
      </c>
      <c r="N146" s="22">
        <f t="shared" ref="N146" si="113">L146+M146</f>
        <v>0</v>
      </c>
      <c r="O146" s="61"/>
    </row>
    <row r="147" spans="1:18" ht="15.75" x14ac:dyDescent="0.2">
      <c r="A147" s="114">
        <f>IF(G147&lt;&gt;"",1+MAX($A$6:A146),"")</f>
        <v>88</v>
      </c>
      <c r="B147" s="115"/>
      <c r="C147" s="13"/>
      <c r="D147" s="65"/>
      <c r="E147" s="224" t="s">
        <v>176</v>
      </c>
      <c r="F147" s="222" t="s">
        <v>12</v>
      </c>
      <c r="G147" s="222">
        <v>2826</v>
      </c>
      <c r="H147" s="6">
        <v>7.0000000000000007E-2</v>
      </c>
      <c r="I147" s="16">
        <f t="shared" si="112"/>
        <v>3023.82</v>
      </c>
      <c r="J147" s="21">
        <v>0</v>
      </c>
      <c r="K147" s="21">
        <v>0</v>
      </c>
      <c r="L147" s="112">
        <f>J147*I147</f>
        <v>0</v>
      </c>
      <c r="M147" s="112">
        <f>K147*I147</f>
        <v>0</v>
      </c>
      <c r="N147" s="22">
        <f t="shared" ref="N147" si="114">L147+M147</f>
        <v>0</v>
      </c>
      <c r="O147" s="61"/>
    </row>
    <row r="148" spans="1:18" ht="15.75" x14ac:dyDescent="0.2">
      <c r="A148" s="114">
        <f>IF(G148&lt;&gt;"",1+MAX($A$6:A147),"")</f>
        <v>89</v>
      </c>
      <c r="B148" s="115"/>
      <c r="C148" s="13"/>
      <c r="D148" s="65"/>
      <c r="E148" s="224" t="s">
        <v>177</v>
      </c>
      <c r="F148" s="222" t="s">
        <v>12</v>
      </c>
      <c r="G148" s="222">
        <v>2826</v>
      </c>
      <c r="H148" s="6">
        <v>7.0000000000000007E-2</v>
      </c>
      <c r="I148" s="16">
        <f t="shared" ref="I148" si="115">G148*(1+H148)</f>
        <v>3023.82</v>
      </c>
      <c r="J148" s="21">
        <v>0</v>
      </c>
      <c r="K148" s="21">
        <v>0</v>
      </c>
      <c r="L148" s="112">
        <f>J148*I148</f>
        <v>0</v>
      </c>
      <c r="M148" s="112">
        <f>K148*I148</f>
        <v>0</v>
      </c>
      <c r="N148" s="22">
        <f t="shared" ref="N148" si="116">L148+M148</f>
        <v>0</v>
      </c>
      <c r="O148" s="61"/>
    </row>
    <row r="149" spans="1:18" ht="15.75" x14ac:dyDescent="0.2">
      <c r="A149" s="114">
        <f>IF(G149&lt;&gt;"",1+MAX($A$6:A148),"")</f>
        <v>90</v>
      </c>
      <c r="B149" s="115" t="s">
        <v>141</v>
      </c>
      <c r="C149" s="13"/>
      <c r="D149" s="65"/>
      <c r="E149" s="225" t="s">
        <v>179</v>
      </c>
      <c r="F149" s="223" t="s">
        <v>94</v>
      </c>
      <c r="G149" s="223">
        <v>179.17</v>
      </c>
      <c r="H149" s="133"/>
      <c r="I149" s="221"/>
      <c r="J149" s="24"/>
      <c r="K149" s="24"/>
      <c r="L149" s="24"/>
      <c r="M149" s="24"/>
      <c r="N149" s="226"/>
      <c r="O149" s="61"/>
    </row>
    <row r="150" spans="1:18" s="121" customFormat="1" ht="15.75" x14ac:dyDescent="0.2">
      <c r="A150" s="114">
        <f>IF(G150&lt;&gt;"",1+MAX($A$6:A149),"")</f>
        <v>91</v>
      </c>
      <c r="B150" s="115"/>
      <c r="C150" s="116"/>
      <c r="D150" s="132"/>
      <c r="E150" s="224" t="s">
        <v>175</v>
      </c>
      <c r="F150" s="222" t="s">
        <v>12</v>
      </c>
      <c r="G150" s="222">
        <v>5760</v>
      </c>
      <c r="H150" s="133">
        <v>7.0000000000000007E-2</v>
      </c>
      <c r="I150" s="118">
        <f t="shared" ref="I150:I157" si="117">G150*(1+H150)</f>
        <v>6163.2000000000007</v>
      </c>
      <c r="J150" s="21">
        <v>0</v>
      </c>
      <c r="K150" s="21">
        <v>0</v>
      </c>
      <c r="L150" s="112">
        <f>J150*I150</f>
        <v>0</v>
      </c>
      <c r="M150" s="112">
        <f>K150*I150</f>
        <v>0</v>
      </c>
      <c r="N150" s="22">
        <f>L150+M150</f>
        <v>0</v>
      </c>
      <c r="O150" s="120"/>
      <c r="P150" s="134"/>
      <c r="Q150" s="134"/>
      <c r="R150" s="134"/>
    </row>
    <row r="151" spans="1:18" ht="15.75" x14ac:dyDescent="0.2">
      <c r="A151" s="114">
        <f>IF(G151&lt;&gt;"",1+MAX($A$6:A150),"")</f>
        <v>92</v>
      </c>
      <c r="B151" s="115"/>
      <c r="C151" s="116"/>
      <c r="D151" s="67"/>
      <c r="E151" s="224" t="s">
        <v>176</v>
      </c>
      <c r="F151" s="222" t="s">
        <v>12</v>
      </c>
      <c r="G151" s="222">
        <v>5760</v>
      </c>
      <c r="H151" s="6">
        <v>7.0000000000000007E-2</v>
      </c>
      <c r="I151" s="16">
        <f t="shared" si="117"/>
        <v>6163.2000000000007</v>
      </c>
      <c r="J151" s="21">
        <v>0</v>
      </c>
      <c r="K151" s="21">
        <v>0</v>
      </c>
      <c r="L151" s="112">
        <f>J151*I151</f>
        <v>0</v>
      </c>
      <c r="M151" s="112">
        <f>K151*I151</f>
        <v>0</v>
      </c>
      <c r="N151" s="22">
        <f t="shared" ref="N151:N152" si="118">L151+M151</f>
        <v>0</v>
      </c>
      <c r="O151" s="19"/>
    </row>
    <row r="152" spans="1:18" ht="15.75" x14ac:dyDescent="0.2">
      <c r="A152" s="114">
        <f>IF(G152&lt;&gt;"",1+MAX($A$6:A151),"")</f>
        <v>93</v>
      </c>
      <c r="B152" s="115"/>
      <c r="C152" s="13"/>
      <c r="D152" s="12"/>
      <c r="E152" s="224" t="s">
        <v>177</v>
      </c>
      <c r="F152" s="222" t="s">
        <v>12</v>
      </c>
      <c r="G152" s="222">
        <v>5760</v>
      </c>
      <c r="H152" s="6">
        <v>7.0000000000000007E-2</v>
      </c>
      <c r="I152" s="16">
        <f t="shared" si="117"/>
        <v>6163.2000000000007</v>
      </c>
      <c r="J152" s="21">
        <v>0</v>
      </c>
      <c r="K152" s="21">
        <v>0</v>
      </c>
      <c r="L152" s="112">
        <f>J152*I152</f>
        <v>0</v>
      </c>
      <c r="M152" s="112">
        <f>K152*I152</f>
        <v>0</v>
      </c>
      <c r="N152" s="22">
        <f t="shared" si="118"/>
        <v>0</v>
      </c>
      <c r="O152" s="19"/>
    </row>
    <row r="153" spans="1:18" s="121" customFormat="1" ht="15.75" x14ac:dyDescent="0.2">
      <c r="A153" s="114">
        <f>IF(G153&lt;&gt;"",1+MAX($A$6:A152),"")</f>
        <v>94</v>
      </c>
      <c r="B153" s="115" t="s">
        <v>141</v>
      </c>
      <c r="C153" s="116"/>
      <c r="D153" s="132"/>
      <c r="E153" s="225" t="s">
        <v>180</v>
      </c>
      <c r="F153" s="223" t="s">
        <v>94</v>
      </c>
      <c r="G153" s="223">
        <v>299.22000000000003</v>
      </c>
      <c r="H153" s="133"/>
      <c r="I153" s="221"/>
      <c r="J153" s="24"/>
      <c r="K153" s="24"/>
      <c r="L153" s="24"/>
      <c r="M153" s="24"/>
      <c r="N153" s="226"/>
      <c r="O153" s="120"/>
      <c r="P153" s="134"/>
      <c r="Q153" s="134"/>
      <c r="R153" s="134"/>
    </row>
    <row r="154" spans="1:18" ht="15.75" x14ac:dyDescent="0.2">
      <c r="A154" s="114">
        <f>IF(G154&lt;&gt;"",1+MAX($A$6:A153),"")</f>
        <v>95</v>
      </c>
      <c r="B154" s="115"/>
      <c r="C154" s="116"/>
      <c r="D154" s="67"/>
      <c r="E154" s="224" t="s">
        <v>175</v>
      </c>
      <c r="F154" s="222" t="s">
        <v>12</v>
      </c>
      <c r="G154" s="222">
        <v>7200</v>
      </c>
      <c r="H154" s="6">
        <v>7.0000000000000007E-2</v>
      </c>
      <c r="I154" s="16">
        <f t="shared" si="117"/>
        <v>7704</v>
      </c>
      <c r="J154" s="21">
        <v>0</v>
      </c>
      <c r="K154" s="21">
        <v>0</v>
      </c>
      <c r="L154" s="112">
        <f>J154*I154</f>
        <v>0</v>
      </c>
      <c r="M154" s="112">
        <f>K154*I154</f>
        <v>0</v>
      </c>
      <c r="N154" s="22">
        <f t="shared" ref="N154:N157" si="119">L154+M154</f>
        <v>0</v>
      </c>
      <c r="O154" s="19"/>
    </row>
    <row r="155" spans="1:18" ht="15.75" x14ac:dyDescent="0.2">
      <c r="A155" s="114">
        <f>IF(G155&lt;&gt;"",1+MAX($A$6:A154),"")</f>
        <v>96</v>
      </c>
      <c r="B155" s="115"/>
      <c r="C155" s="13"/>
      <c r="D155" s="65"/>
      <c r="E155" s="224" t="s">
        <v>177</v>
      </c>
      <c r="F155" s="222" t="s">
        <v>12</v>
      </c>
      <c r="G155" s="222">
        <v>7200</v>
      </c>
      <c r="H155" s="6">
        <v>7.0000000000000007E-2</v>
      </c>
      <c r="I155" s="16">
        <f t="shared" si="117"/>
        <v>7704</v>
      </c>
      <c r="J155" s="21">
        <v>0</v>
      </c>
      <c r="K155" s="21">
        <v>0</v>
      </c>
      <c r="L155" s="112">
        <f>J155*I155</f>
        <v>0</v>
      </c>
      <c r="M155" s="112">
        <f>K155*I155</f>
        <v>0</v>
      </c>
      <c r="N155" s="22">
        <f t="shared" si="119"/>
        <v>0</v>
      </c>
      <c r="O155" s="61"/>
    </row>
    <row r="156" spans="1:18" ht="15.75" x14ac:dyDescent="0.2">
      <c r="A156" s="114">
        <f>IF(G156&lt;&gt;"",1+MAX($A$6:A155),"")</f>
        <v>97</v>
      </c>
      <c r="B156" s="115"/>
      <c r="C156" s="13"/>
      <c r="D156" s="65"/>
      <c r="E156" s="224" t="s">
        <v>152</v>
      </c>
      <c r="F156" s="222" t="s">
        <v>12</v>
      </c>
      <c r="G156" s="222">
        <v>7200</v>
      </c>
      <c r="H156" s="6">
        <v>7.0000000000000007E-2</v>
      </c>
      <c r="I156" s="16">
        <f t="shared" si="117"/>
        <v>7704</v>
      </c>
      <c r="J156" s="21">
        <v>0</v>
      </c>
      <c r="K156" s="21">
        <v>0</v>
      </c>
      <c r="L156" s="112">
        <f>J156*I156</f>
        <v>0</v>
      </c>
      <c r="M156" s="112">
        <f>K156*I156</f>
        <v>0</v>
      </c>
      <c r="N156" s="22">
        <f t="shared" si="119"/>
        <v>0</v>
      </c>
      <c r="O156" s="61"/>
    </row>
    <row r="157" spans="1:18" ht="15.75" x14ac:dyDescent="0.2">
      <c r="A157" s="114">
        <f>IF(G157&lt;&gt;"",1+MAX($A$6:A156),"")</f>
        <v>98</v>
      </c>
      <c r="B157" s="115"/>
      <c r="C157" s="13"/>
      <c r="D157" s="65"/>
      <c r="E157" s="224" t="s">
        <v>181</v>
      </c>
      <c r="F157" s="222" t="s">
        <v>12</v>
      </c>
      <c r="G157" s="222">
        <v>14400</v>
      </c>
      <c r="H157" s="6">
        <v>7.0000000000000007E-2</v>
      </c>
      <c r="I157" s="16">
        <f t="shared" si="117"/>
        <v>15408</v>
      </c>
      <c r="J157" s="21">
        <v>0</v>
      </c>
      <c r="K157" s="21">
        <v>0</v>
      </c>
      <c r="L157" s="112">
        <f>J157*I157</f>
        <v>0</v>
      </c>
      <c r="M157" s="112">
        <f>K157*I157</f>
        <v>0</v>
      </c>
      <c r="N157" s="22">
        <f t="shared" si="119"/>
        <v>0</v>
      </c>
      <c r="O157" s="61"/>
    </row>
    <row r="158" spans="1:18" ht="15.75" x14ac:dyDescent="0.2">
      <c r="A158" s="114">
        <f>IF(G158&lt;&gt;"",1+MAX($A$6:A157),"")</f>
        <v>99</v>
      </c>
      <c r="B158" s="115" t="s">
        <v>141</v>
      </c>
      <c r="C158" s="13"/>
      <c r="D158" s="65"/>
      <c r="E158" s="225" t="s">
        <v>182</v>
      </c>
      <c r="F158" s="223" t="s">
        <v>94</v>
      </c>
      <c r="G158" s="223">
        <v>154.86000000000001</v>
      </c>
      <c r="H158" s="133"/>
      <c r="I158" s="221"/>
      <c r="J158" s="24"/>
      <c r="K158" s="24"/>
      <c r="L158" s="24"/>
      <c r="M158" s="24"/>
      <c r="N158" s="226"/>
      <c r="O158" s="61"/>
    </row>
    <row r="159" spans="1:18" s="121" customFormat="1" ht="15.75" x14ac:dyDescent="0.2">
      <c r="A159" s="114">
        <f>IF(G159&lt;&gt;"",1+MAX($A$6:A158),"")</f>
        <v>100</v>
      </c>
      <c r="B159" s="115"/>
      <c r="C159" s="116"/>
      <c r="D159" s="132"/>
      <c r="E159" s="224" t="s">
        <v>175</v>
      </c>
      <c r="F159" s="222" t="s">
        <v>12</v>
      </c>
      <c r="G159" s="222">
        <v>4960</v>
      </c>
      <c r="H159" s="133">
        <v>7.0000000000000007E-2</v>
      </c>
      <c r="I159" s="118">
        <f t="shared" ref="I159:I170" si="120">G159*(1+H159)</f>
        <v>5307.2000000000007</v>
      </c>
      <c r="J159" s="21">
        <v>0</v>
      </c>
      <c r="K159" s="21">
        <v>0</v>
      </c>
      <c r="L159" s="112">
        <f>J159*I159</f>
        <v>0</v>
      </c>
      <c r="M159" s="112">
        <f>K159*I159</f>
        <v>0</v>
      </c>
      <c r="N159" s="22">
        <f>L159+M159</f>
        <v>0</v>
      </c>
      <c r="O159" s="120"/>
      <c r="P159" s="134"/>
      <c r="Q159" s="134"/>
      <c r="R159" s="134"/>
    </row>
    <row r="160" spans="1:18" ht="15.75" x14ac:dyDescent="0.2">
      <c r="A160" s="114">
        <f>IF(G160&lt;&gt;"",1+MAX($A$6:A159),"")</f>
        <v>101</v>
      </c>
      <c r="B160" s="115"/>
      <c r="C160" s="116"/>
      <c r="D160" s="67"/>
      <c r="E160" s="224" t="s">
        <v>177</v>
      </c>
      <c r="F160" s="222" t="s">
        <v>12</v>
      </c>
      <c r="G160" s="222">
        <v>4960</v>
      </c>
      <c r="H160" s="6">
        <v>7.0000000000000007E-2</v>
      </c>
      <c r="I160" s="16">
        <f t="shared" si="120"/>
        <v>5307.2000000000007</v>
      </c>
      <c r="J160" s="21">
        <v>0</v>
      </c>
      <c r="K160" s="21">
        <v>0</v>
      </c>
      <c r="L160" s="112">
        <f>J160*I160</f>
        <v>0</v>
      </c>
      <c r="M160" s="112">
        <f>K160*I160</f>
        <v>0</v>
      </c>
      <c r="N160" s="22">
        <f t="shared" ref="N160:N161" si="121">L160+M160</f>
        <v>0</v>
      </c>
      <c r="O160" s="19"/>
    </row>
    <row r="161" spans="1:18" ht="15.75" x14ac:dyDescent="0.2">
      <c r="A161" s="114">
        <f>IF(G161&lt;&gt;"",1+MAX($A$6:A160),"")</f>
        <v>102</v>
      </c>
      <c r="B161" s="115"/>
      <c r="C161" s="13"/>
      <c r="D161" s="12"/>
      <c r="E161" s="224" t="s">
        <v>152</v>
      </c>
      <c r="F161" s="222" t="s">
        <v>12</v>
      </c>
      <c r="G161" s="222">
        <v>4960</v>
      </c>
      <c r="H161" s="6">
        <v>7.0000000000000007E-2</v>
      </c>
      <c r="I161" s="16">
        <f t="shared" si="120"/>
        <v>5307.2000000000007</v>
      </c>
      <c r="J161" s="21">
        <v>0</v>
      </c>
      <c r="K161" s="21">
        <v>0</v>
      </c>
      <c r="L161" s="112">
        <f>J161*I161</f>
        <v>0</v>
      </c>
      <c r="M161" s="112">
        <f>K161*I161</f>
        <v>0</v>
      </c>
      <c r="N161" s="22">
        <f t="shared" si="121"/>
        <v>0</v>
      </c>
      <c r="O161" s="19"/>
    </row>
    <row r="162" spans="1:18" s="121" customFormat="1" ht="15.75" x14ac:dyDescent="0.2">
      <c r="A162" s="114">
        <f>IF(G162&lt;&gt;"",1+MAX($A$6:A161),"")</f>
        <v>103</v>
      </c>
      <c r="B162" s="115"/>
      <c r="C162" s="116"/>
      <c r="D162" s="132"/>
      <c r="E162" s="224" t="s">
        <v>183</v>
      </c>
      <c r="F162" s="222" t="s">
        <v>12</v>
      </c>
      <c r="G162" s="222">
        <v>9920</v>
      </c>
      <c r="H162" s="133">
        <v>7.0000000000000007E-2</v>
      </c>
      <c r="I162" s="118">
        <f t="shared" si="120"/>
        <v>10614.400000000001</v>
      </c>
      <c r="J162" s="21">
        <v>0</v>
      </c>
      <c r="K162" s="21">
        <v>0</v>
      </c>
      <c r="L162" s="112">
        <f>J162*I162</f>
        <v>0</v>
      </c>
      <c r="M162" s="112">
        <f>K162*I162</f>
        <v>0</v>
      </c>
      <c r="N162" s="22">
        <f>L162+M162</f>
        <v>0</v>
      </c>
      <c r="O162" s="120"/>
      <c r="P162" s="134"/>
      <c r="Q162" s="134"/>
      <c r="R162" s="134"/>
    </row>
    <row r="163" spans="1:18" ht="15.75" x14ac:dyDescent="0.2">
      <c r="A163" s="114">
        <f>IF(G163&lt;&gt;"",1+MAX($A$6:A162),"")</f>
        <v>104</v>
      </c>
      <c r="B163" s="115" t="s">
        <v>141</v>
      </c>
      <c r="C163" s="116"/>
      <c r="D163" s="67"/>
      <c r="E163" s="225" t="s">
        <v>184</v>
      </c>
      <c r="F163" s="223" t="s">
        <v>94</v>
      </c>
      <c r="G163" s="223">
        <v>279.14</v>
      </c>
      <c r="H163" s="133"/>
      <c r="I163" s="221"/>
      <c r="J163" s="24"/>
      <c r="K163" s="24"/>
      <c r="L163" s="24"/>
      <c r="M163" s="24"/>
      <c r="N163" s="226"/>
      <c r="O163" s="19"/>
    </row>
    <row r="164" spans="1:18" ht="15.75" x14ac:dyDescent="0.2">
      <c r="A164" s="114">
        <f>IF(G164&lt;&gt;"",1+MAX($A$6:A163),"")</f>
        <v>105</v>
      </c>
      <c r="B164" s="115"/>
      <c r="C164" s="13"/>
      <c r="D164" s="65"/>
      <c r="E164" s="224" t="s">
        <v>185</v>
      </c>
      <c r="F164" s="222" t="s">
        <v>12</v>
      </c>
      <c r="G164" s="222">
        <v>17920</v>
      </c>
      <c r="H164" s="6">
        <v>7.0000000000000007E-2</v>
      </c>
      <c r="I164" s="16">
        <f t="shared" si="120"/>
        <v>19174.400000000001</v>
      </c>
      <c r="J164" s="21">
        <v>0</v>
      </c>
      <c r="K164" s="21">
        <v>0</v>
      </c>
      <c r="L164" s="112">
        <f>J164*I164</f>
        <v>0</v>
      </c>
      <c r="M164" s="112">
        <f>K164*I164</f>
        <v>0</v>
      </c>
      <c r="N164" s="22">
        <f t="shared" ref="N164:N171" si="122">L164+M164</f>
        <v>0</v>
      </c>
      <c r="O164" s="61"/>
    </row>
    <row r="165" spans="1:18" x14ac:dyDescent="0.15">
      <c r="A165" s="114" t="str">
        <f>IF(G165&lt;&gt;"",1+MAX($A$6:A164),"")</f>
        <v/>
      </c>
      <c r="B165" s="115"/>
      <c r="C165" s="262"/>
      <c r="D165" s="263"/>
      <c r="E165" s="139" t="s">
        <v>54</v>
      </c>
      <c r="F165" s="194" t="s">
        <v>58</v>
      </c>
      <c r="G165" s="268"/>
      <c r="H165" s="269"/>
      <c r="I165" s="140">
        <f>ROUNDUP((I164)/32,0)</f>
        <v>600</v>
      </c>
      <c r="J165" s="274"/>
      <c r="K165" s="275"/>
      <c r="L165" s="275"/>
      <c r="M165" s="275"/>
      <c r="N165" s="276"/>
      <c r="O165" s="61"/>
    </row>
    <row r="166" spans="1:18" x14ac:dyDescent="0.15">
      <c r="A166" s="114" t="str">
        <f>IF(G166&lt;&gt;"",1+MAX($A$6:A165),"")</f>
        <v/>
      </c>
      <c r="B166" s="115"/>
      <c r="C166" s="264"/>
      <c r="D166" s="265"/>
      <c r="E166" s="139" t="s">
        <v>55</v>
      </c>
      <c r="F166" s="194" t="s">
        <v>59</v>
      </c>
      <c r="G166" s="270"/>
      <c r="H166" s="271"/>
      <c r="I166" s="140">
        <f>ROUNDUP(I165*24/500,0)</f>
        <v>29</v>
      </c>
      <c r="J166" s="277"/>
      <c r="K166" s="278"/>
      <c r="L166" s="278"/>
      <c r="M166" s="278"/>
      <c r="N166" s="279"/>
      <c r="O166" s="61"/>
    </row>
    <row r="167" spans="1:18" x14ac:dyDescent="0.15">
      <c r="A167" s="114" t="str">
        <f>IF(G167&lt;&gt;"",1+MAX($A$6:A166),"")</f>
        <v/>
      </c>
      <c r="B167" s="115"/>
      <c r="C167" s="264"/>
      <c r="D167" s="265"/>
      <c r="E167" s="139" t="s">
        <v>56</v>
      </c>
      <c r="F167" s="194" t="s">
        <v>60</v>
      </c>
      <c r="G167" s="270"/>
      <c r="H167" s="271"/>
      <c r="I167" s="140">
        <f>ROUNDUP((I164)/200,0)</f>
        <v>96</v>
      </c>
      <c r="J167" s="277"/>
      <c r="K167" s="278"/>
      <c r="L167" s="278"/>
      <c r="M167" s="278"/>
      <c r="N167" s="279"/>
      <c r="O167" s="61"/>
    </row>
    <row r="168" spans="1:18" x14ac:dyDescent="0.15">
      <c r="A168" s="114" t="str">
        <f>IF(G168&lt;&gt;"",1+MAX($A$6:A167),"")</f>
        <v/>
      </c>
      <c r="B168" s="115"/>
      <c r="C168" s="266"/>
      <c r="D168" s="267"/>
      <c r="E168" s="139" t="s">
        <v>57</v>
      </c>
      <c r="F168" s="194" t="s">
        <v>61</v>
      </c>
      <c r="G168" s="272"/>
      <c r="H168" s="273"/>
      <c r="I168" s="140">
        <f>ROUNDUP((I164)*5.25/1000,0)</f>
        <v>101</v>
      </c>
      <c r="J168" s="280"/>
      <c r="K168" s="281"/>
      <c r="L168" s="281"/>
      <c r="M168" s="281"/>
      <c r="N168" s="282"/>
      <c r="O168" s="61"/>
    </row>
    <row r="169" spans="1:18" ht="15.75" x14ac:dyDescent="0.2">
      <c r="A169" s="114">
        <f>IF(G169&lt;&gt;"",1+MAX($A$6:A168),"")</f>
        <v>106</v>
      </c>
      <c r="B169" s="115"/>
      <c r="C169" s="13"/>
      <c r="D169" s="65"/>
      <c r="E169" s="224" t="s">
        <v>186</v>
      </c>
      <c r="F169" s="222" t="s">
        <v>12</v>
      </c>
      <c r="G169" s="222">
        <v>8960</v>
      </c>
      <c r="H169" s="6">
        <v>7.0000000000000007E-2</v>
      </c>
      <c r="I169" s="16">
        <f t="shared" si="120"/>
        <v>9587.2000000000007</v>
      </c>
      <c r="J169" s="21">
        <v>0</v>
      </c>
      <c r="K169" s="21">
        <v>0</v>
      </c>
      <c r="L169" s="112">
        <f>J169*I169</f>
        <v>0</v>
      </c>
      <c r="M169" s="112">
        <f>K169*I169</f>
        <v>0</v>
      </c>
      <c r="N169" s="22">
        <f t="shared" si="122"/>
        <v>0</v>
      </c>
      <c r="O169" s="61"/>
    </row>
    <row r="170" spans="1:18" ht="15.75" x14ac:dyDescent="0.2">
      <c r="A170" s="114">
        <f>IF(G170&lt;&gt;"",1+MAX($A$6:A169),"")</f>
        <v>107</v>
      </c>
      <c r="B170" s="115"/>
      <c r="C170" s="13"/>
      <c r="D170" s="65"/>
      <c r="E170" s="224" t="s">
        <v>187</v>
      </c>
      <c r="F170" s="222" t="s">
        <v>12</v>
      </c>
      <c r="G170" s="222">
        <v>8960</v>
      </c>
      <c r="H170" s="6">
        <v>7.0000000000000007E-2</v>
      </c>
      <c r="I170" s="16">
        <f t="shared" si="120"/>
        <v>9587.2000000000007</v>
      </c>
      <c r="J170" s="21">
        <v>0</v>
      </c>
      <c r="K170" s="21">
        <v>0</v>
      </c>
      <c r="L170" s="112">
        <f>J170*I170</f>
        <v>0</v>
      </c>
      <c r="M170" s="112">
        <f>K170*I170</f>
        <v>0</v>
      </c>
      <c r="N170" s="22">
        <f t="shared" si="122"/>
        <v>0</v>
      </c>
      <c r="O170" s="61"/>
    </row>
    <row r="171" spans="1:18" ht="15.75" x14ac:dyDescent="0.2">
      <c r="A171" s="114">
        <f>IF(G171&lt;&gt;"",1+MAX($A$6:A170),"")</f>
        <v>108</v>
      </c>
      <c r="B171" s="115"/>
      <c r="C171" s="13"/>
      <c r="D171" s="65"/>
      <c r="E171" s="224" t="s">
        <v>188</v>
      </c>
      <c r="F171" s="222" t="s">
        <v>94</v>
      </c>
      <c r="G171" s="222">
        <v>560</v>
      </c>
      <c r="H171" s="6">
        <v>7.0000000000000007E-2</v>
      </c>
      <c r="I171" s="16">
        <f t="shared" ref="I171:I187" si="123">G171*(1+H171)</f>
        <v>599.20000000000005</v>
      </c>
      <c r="J171" s="21">
        <v>0</v>
      </c>
      <c r="K171" s="21">
        <v>0</v>
      </c>
      <c r="L171" s="112">
        <f>J171*I171</f>
        <v>0</v>
      </c>
      <c r="M171" s="112">
        <f>K171*I171</f>
        <v>0</v>
      </c>
      <c r="N171" s="22">
        <f t="shared" si="122"/>
        <v>0</v>
      </c>
      <c r="O171" s="61"/>
    </row>
    <row r="172" spans="1:18" s="121" customFormat="1" ht="15.75" x14ac:dyDescent="0.2">
      <c r="A172" s="114">
        <f>IF(G172&lt;&gt;"",1+MAX($A$6:A171),"")</f>
        <v>109</v>
      </c>
      <c r="B172" s="115" t="s">
        <v>141</v>
      </c>
      <c r="C172" s="116"/>
      <c r="D172" s="132"/>
      <c r="E172" s="225" t="s">
        <v>189</v>
      </c>
      <c r="F172" s="223" t="s">
        <v>94</v>
      </c>
      <c r="G172" s="223">
        <v>92.37</v>
      </c>
      <c r="H172" s="133"/>
      <c r="I172" s="221"/>
      <c r="J172" s="24"/>
      <c r="K172" s="24"/>
      <c r="L172" s="24"/>
      <c r="M172" s="24"/>
      <c r="N172" s="226"/>
      <c r="O172" s="120"/>
      <c r="P172" s="134"/>
      <c r="Q172" s="134"/>
      <c r="R172" s="134"/>
    </row>
    <row r="173" spans="1:18" ht="15.75" x14ac:dyDescent="0.2">
      <c r="A173" s="114">
        <f>IF(G173&lt;&gt;"",1+MAX($A$6:A172),"")</f>
        <v>110</v>
      </c>
      <c r="B173" s="115"/>
      <c r="C173" s="116"/>
      <c r="D173" s="67"/>
      <c r="E173" s="224" t="s">
        <v>185</v>
      </c>
      <c r="F173" s="222" t="s">
        <v>12</v>
      </c>
      <c r="G173" s="222">
        <v>1860</v>
      </c>
      <c r="H173" s="6">
        <v>7.0000000000000007E-2</v>
      </c>
      <c r="I173" s="16">
        <f t="shared" si="123"/>
        <v>1990.2</v>
      </c>
      <c r="J173" s="21">
        <v>0</v>
      </c>
      <c r="K173" s="21">
        <v>0</v>
      </c>
      <c r="L173" s="112">
        <f>J173*I173</f>
        <v>0</v>
      </c>
      <c r="M173" s="112">
        <f>K173*I173</f>
        <v>0</v>
      </c>
      <c r="N173" s="22">
        <f t="shared" ref="N173:N178" si="124">L173+M173</f>
        <v>0</v>
      </c>
      <c r="O173" s="19"/>
    </row>
    <row r="174" spans="1:18" x14ac:dyDescent="0.15">
      <c r="A174" s="114" t="str">
        <f>IF(G174&lt;&gt;"",1+MAX($A$6:A173),"")</f>
        <v/>
      </c>
      <c r="B174" s="115"/>
      <c r="C174" s="262"/>
      <c r="D174" s="263"/>
      <c r="E174" s="139" t="s">
        <v>54</v>
      </c>
      <c r="F174" s="194" t="s">
        <v>58</v>
      </c>
      <c r="G174" s="268"/>
      <c r="H174" s="269"/>
      <c r="I174" s="140">
        <f>ROUNDUP((I173)/32,0)</f>
        <v>63</v>
      </c>
      <c r="J174" s="274"/>
      <c r="K174" s="275"/>
      <c r="L174" s="275"/>
      <c r="M174" s="275"/>
      <c r="N174" s="276"/>
      <c r="O174" s="61"/>
    </row>
    <row r="175" spans="1:18" x14ac:dyDescent="0.15">
      <c r="A175" s="114" t="str">
        <f>IF(G175&lt;&gt;"",1+MAX($A$6:A174),"")</f>
        <v/>
      </c>
      <c r="B175" s="115"/>
      <c r="C175" s="264"/>
      <c r="D175" s="265"/>
      <c r="E175" s="139" t="s">
        <v>55</v>
      </c>
      <c r="F175" s="194" t="s">
        <v>59</v>
      </c>
      <c r="G175" s="270"/>
      <c r="H175" s="271"/>
      <c r="I175" s="140">
        <f>ROUNDUP(I174*24/500,0)</f>
        <v>4</v>
      </c>
      <c r="J175" s="277"/>
      <c r="K175" s="278"/>
      <c r="L175" s="278"/>
      <c r="M175" s="278"/>
      <c r="N175" s="279"/>
      <c r="O175" s="61"/>
    </row>
    <row r="176" spans="1:18" x14ac:dyDescent="0.15">
      <c r="A176" s="114" t="str">
        <f>IF(G176&lt;&gt;"",1+MAX($A$6:A175),"")</f>
        <v/>
      </c>
      <c r="B176" s="115"/>
      <c r="C176" s="264"/>
      <c r="D176" s="265"/>
      <c r="E176" s="139" t="s">
        <v>56</v>
      </c>
      <c r="F176" s="194" t="s">
        <v>60</v>
      </c>
      <c r="G176" s="270"/>
      <c r="H176" s="271"/>
      <c r="I176" s="140">
        <f>ROUNDUP((I173)/200,0)</f>
        <v>10</v>
      </c>
      <c r="J176" s="277"/>
      <c r="K176" s="278"/>
      <c r="L176" s="278"/>
      <c r="M176" s="278"/>
      <c r="N176" s="279"/>
      <c r="O176" s="61"/>
    </row>
    <row r="177" spans="1:18" x14ac:dyDescent="0.15">
      <c r="A177" s="114" t="str">
        <f>IF(G177&lt;&gt;"",1+MAX($A$6:A176),"")</f>
        <v/>
      </c>
      <c r="B177" s="115"/>
      <c r="C177" s="266"/>
      <c r="D177" s="267"/>
      <c r="E177" s="139" t="s">
        <v>57</v>
      </c>
      <c r="F177" s="194" t="s">
        <v>61</v>
      </c>
      <c r="G177" s="272"/>
      <c r="H177" s="273"/>
      <c r="I177" s="140">
        <f>ROUNDUP((I173)*5.25/1000,0)</f>
        <v>11</v>
      </c>
      <c r="J177" s="280"/>
      <c r="K177" s="281"/>
      <c r="L177" s="281"/>
      <c r="M177" s="281"/>
      <c r="N177" s="282"/>
      <c r="O177" s="61"/>
    </row>
    <row r="178" spans="1:18" ht="15.75" x14ac:dyDescent="0.2">
      <c r="A178" s="114">
        <f>IF(G178&lt;&gt;"",1+MAX($A$6:A177),"")</f>
        <v>111</v>
      </c>
      <c r="B178" s="115"/>
      <c r="C178" s="13"/>
      <c r="D178" s="12"/>
      <c r="E178" s="224" t="s">
        <v>190</v>
      </c>
      <c r="F178" s="222" t="s">
        <v>12</v>
      </c>
      <c r="G178" s="222">
        <v>930</v>
      </c>
      <c r="H178" s="6">
        <v>7.0000000000000007E-2</v>
      </c>
      <c r="I178" s="16">
        <f t="shared" si="123"/>
        <v>995.1</v>
      </c>
      <c r="J178" s="21">
        <v>0</v>
      </c>
      <c r="K178" s="21">
        <v>0</v>
      </c>
      <c r="L178" s="112">
        <f>J178*I178</f>
        <v>0</v>
      </c>
      <c r="M178" s="112">
        <f>K178*I178</f>
        <v>0</v>
      </c>
      <c r="N178" s="22">
        <f t="shared" si="124"/>
        <v>0</v>
      </c>
      <c r="O178" s="19"/>
    </row>
    <row r="179" spans="1:18" s="121" customFormat="1" ht="15.75" x14ac:dyDescent="0.2">
      <c r="A179" s="114">
        <f>IF(G179&lt;&gt;"",1+MAX($A$6:A178),"")</f>
        <v>112</v>
      </c>
      <c r="B179" s="115"/>
      <c r="C179" s="116"/>
      <c r="D179" s="132"/>
      <c r="E179" s="224" t="s">
        <v>187</v>
      </c>
      <c r="F179" s="222" t="s">
        <v>12</v>
      </c>
      <c r="G179" s="222">
        <v>930</v>
      </c>
      <c r="H179" s="133">
        <v>7.0000000000000007E-2</v>
      </c>
      <c r="I179" s="118">
        <f t="shared" si="123"/>
        <v>995.1</v>
      </c>
      <c r="J179" s="21">
        <v>0</v>
      </c>
      <c r="K179" s="21">
        <v>0</v>
      </c>
      <c r="L179" s="112">
        <f>J179*I179</f>
        <v>0</v>
      </c>
      <c r="M179" s="112">
        <f>K179*I179</f>
        <v>0</v>
      </c>
      <c r="N179" s="22">
        <f>L179+M179</f>
        <v>0</v>
      </c>
      <c r="O179" s="120"/>
      <c r="P179" s="134"/>
      <c r="Q179" s="134"/>
      <c r="R179" s="134"/>
    </row>
    <row r="180" spans="1:18" ht="15.75" x14ac:dyDescent="0.2">
      <c r="A180" s="114">
        <f>IF(G180&lt;&gt;"",1+MAX($A$6:A179),"")</f>
        <v>113</v>
      </c>
      <c r="B180" s="115"/>
      <c r="C180" s="116"/>
      <c r="D180" s="67"/>
      <c r="E180" s="224" t="s">
        <v>188</v>
      </c>
      <c r="F180" s="222" t="s">
        <v>94</v>
      </c>
      <c r="G180" s="222">
        <v>186</v>
      </c>
      <c r="H180" s="6">
        <v>7.0000000000000007E-2</v>
      </c>
      <c r="I180" s="16">
        <f t="shared" si="123"/>
        <v>199.02</v>
      </c>
      <c r="J180" s="21">
        <v>0</v>
      </c>
      <c r="K180" s="21">
        <v>0</v>
      </c>
      <c r="L180" s="112">
        <f>J180*I180</f>
        <v>0</v>
      </c>
      <c r="M180" s="112">
        <f>K180*I180</f>
        <v>0</v>
      </c>
      <c r="N180" s="22">
        <f t="shared" ref="N180:N188" si="125">L180+M180</f>
        <v>0</v>
      </c>
      <c r="O180" s="19"/>
    </row>
    <row r="181" spans="1:18" ht="15.75" x14ac:dyDescent="0.2">
      <c r="A181" s="114">
        <f>IF(G181&lt;&gt;"",1+MAX($A$6:A180),"")</f>
        <v>114</v>
      </c>
      <c r="B181" s="115" t="s">
        <v>141</v>
      </c>
      <c r="C181" s="13"/>
      <c r="D181" s="65"/>
      <c r="E181" s="225" t="s">
        <v>189</v>
      </c>
      <c r="F181" s="223" t="s">
        <v>94</v>
      </c>
      <c r="G181" s="223">
        <v>436.24</v>
      </c>
      <c r="H181" s="133"/>
      <c r="I181" s="221"/>
      <c r="J181" s="24"/>
      <c r="K181" s="24"/>
      <c r="L181" s="24"/>
      <c r="M181" s="24"/>
      <c r="N181" s="226"/>
      <c r="O181" s="61"/>
    </row>
    <row r="182" spans="1:18" ht="15.75" x14ac:dyDescent="0.2">
      <c r="A182" s="114">
        <f>IF(G182&lt;&gt;"",1+MAX($A$6:A181),"")</f>
        <v>115</v>
      </c>
      <c r="B182" s="115"/>
      <c r="C182" s="13"/>
      <c r="D182" s="65"/>
      <c r="E182" s="224" t="s">
        <v>185</v>
      </c>
      <c r="F182" s="222" t="s">
        <v>12</v>
      </c>
      <c r="G182" s="222">
        <v>8740</v>
      </c>
      <c r="H182" s="6">
        <v>7.0000000000000007E-2</v>
      </c>
      <c r="I182" s="16">
        <f t="shared" si="123"/>
        <v>9351.8000000000011</v>
      </c>
      <c r="J182" s="21">
        <v>0</v>
      </c>
      <c r="K182" s="21">
        <v>0</v>
      </c>
      <c r="L182" s="112">
        <f>J182*I182</f>
        <v>0</v>
      </c>
      <c r="M182" s="112">
        <f>K182*I182</f>
        <v>0</v>
      </c>
      <c r="N182" s="22">
        <f t="shared" si="125"/>
        <v>0</v>
      </c>
      <c r="O182" s="61"/>
    </row>
    <row r="183" spans="1:18" x14ac:dyDescent="0.15">
      <c r="A183" s="114" t="str">
        <f>IF(G183&lt;&gt;"",1+MAX($A$6:A182),"")</f>
        <v/>
      </c>
      <c r="B183" s="115"/>
      <c r="C183" s="262"/>
      <c r="D183" s="263"/>
      <c r="E183" s="139" t="s">
        <v>54</v>
      </c>
      <c r="F183" s="194" t="s">
        <v>58</v>
      </c>
      <c r="G183" s="268"/>
      <c r="H183" s="269"/>
      <c r="I183" s="140">
        <f>ROUNDUP((I182)/32,0)</f>
        <v>293</v>
      </c>
      <c r="J183" s="274"/>
      <c r="K183" s="275"/>
      <c r="L183" s="275"/>
      <c r="M183" s="275"/>
      <c r="N183" s="276"/>
      <c r="O183" s="61"/>
    </row>
    <row r="184" spans="1:18" x14ac:dyDescent="0.15">
      <c r="A184" s="114" t="str">
        <f>IF(G184&lt;&gt;"",1+MAX($A$6:A183),"")</f>
        <v/>
      </c>
      <c r="B184" s="115"/>
      <c r="C184" s="264"/>
      <c r="D184" s="265"/>
      <c r="E184" s="139" t="s">
        <v>55</v>
      </c>
      <c r="F184" s="194" t="s">
        <v>59</v>
      </c>
      <c r="G184" s="270"/>
      <c r="H184" s="271"/>
      <c r="I184" s="140">
        <f>ROUNDUP(I183*24/500,0)</f>
        <v>15</v>
      </c>
      <c r="J184" s="277"/>
      <c r="K184" s="278"/>
      <c r="L184" s="278"/>
      <c r="M184" s="278"/>
      <c r="N184" s="279"/>
      <c r="O184" s="61"/>
    </row>
    <row r="185" spans="1:18" x14ac:dyDescent="0.15">
      <c r="A185" s="114" t="str">
        <f>IF(G185&lt;&gt;"",1+MAX($A$6:A184),"")</f>
        <v/>
      </c>
      <c r="B185" s="115"/>
      <c r="C185" s="264"/>
      <c r="D185" s="265"/>
      <c r="E185" s="139" t="s">
        <v>56</v>
      </c>
      <c r="F185" s="194" t="s">
        <v>60</v>
      </c>
      <c r="G185" s="270"/>
      <c r="H185" s="271"/>
      <c r="I185" s="140">
        <f>ROUNDUP((I182)/200,0)</f>
        <v>47</v>
      </c>
      <c r="J185" s="277"/>
      <c r="K185" s="278"/>
      <c r="L185" s="278"/>
      <c r="M185" s="278"/>
      <c r="N185" s="279"/>
      <c r="O185" s="61"/>
    </row>
    <row r="186" spans="1:18" x14ac:dyDescent="0.15">
      <c r="A186" s="114" t="str">
        <f>IF(G186&lt;&gt;"",1+MAX($A$6:A185),"")</f>
        <v/>
      </c>
      <c r="B186" s="115"/>
      <c r="C186" s="266"/>
      <c r="D186" s="267"/>
      <c r="E186" s="139" t="s">
        <v>57</v>
      </c>
      <c r="F186" s="194" t="s">
        <v>61</v>
      </c>
      <c r="G186" s="272"/>
      <c r="H186" s="273"/>
      <c r="I186" s="140">
        <f>ROUNDUP((I182)*5.25/1000,0)</f>
        <v>50</v>
      </c>
      <c r="J186" s="280"/>
      <c r="K186" s="281"/>
      <c r="L186" s="281"/>
      <c r="M186" s="281"/>
      <c r="N186" s="282"/>
      <c r="O186" s="61"/>
    </row>
    <row r="187" spans="1:18" ht="15.75" x14ac:dyDescent="0.2">
      <c r="A187" s="114">
        <f>IF(G187&lt;&gt;"",1+MAX($A$6:A186),"")</f>
        <v>116</v>
      </c>
      <c r="B187" s="115"/>
      <c r="C187" s="13"/>
      <c r="D187" s="65"/>
      <c r="E187" s="224" t="s">
        <v>186</v>
      </c>
      <c r="F187" s="222" t="s">
        <v>12</v>
      </c>
      <c r="G187" s="222">
        <v>4370</v>
      </c>
      <c r="H187" s="6">
        <v>7.0000000000000007E-2</v>
      </c>
      <c r="I187" s="16">
        <f t="shared" si="123"/>
        <v>4675.9000000000005</v>
      </c>
      <c r="J187" s="21">
        <v>0</v>
      </c>
      <c r="K187" s="21">
        <v>0</v>
      </c>
      <c r="L187" s="112">
        <f>J187*I187</f>
        <v>0</v>
      </c>
      <c r="M187" s="112">
        <f>K187*I187</f>
        <v>0</v>
      </c>
      <c r="N187" s="22">
        <f t="shared" si="125"/>
        <v>0</v>
      </c>
      <c r="O187" s="61"/>
    </row>
    <row r="188" spans="1:18" ht="15.75" x14ac:dyDescent="0.2">
      <c r="A188" s="114">
        <f>IF(G188&lt;&gt;"",1+MAX($A$6:A187),"")</f>
        <v>117</v>
      </c>
      <c r="B188" s="115"/>
      <c r="C188" s="13"/>
      <c r="D188" s="65"/>
      <c r="E188" s="224" t="s">
        <v>187</v>
      </c>
      <c r="F188" s="222" t="s">
        <v>12</v>
      </c>
      <c r="G188" s="222">
        <v>4370</v>
      </c>
      <c r="H188" s="6">
        <v>7.0000000000000007E-2</v>
      </c>
      <c r="I188" s="16">
        <f t="shared" ref="I188:I249" si="126">G188*(1+H188)</f>
        <v>4675.9000000000005</v>
      </c>
      <c r="J188" s="21">
        <v>0</v>
      </c>
      <c r="K188" s="21">
        <v>0</v>
      </c>
      <c r="L188" s="112">
        <f>J188*I188</f>
        <v>0</v>
      </c>
      <c r="M188" s="112">
        <f>K188*I188</f>
        <v>0</v>
      </c>
      <c r="N188" s="22">
        <f t="shared" si="125"/>
        <v>0</v>
      </c>
      <c r="O188" s="61"/>
    </row>
    <row r="189" spans="1:18" s="121" customFormat="1" ht="15.75" x14ac:dyDescent="0.2">
      <c r="A189" s="114">
        <f>IF(G189&lt;&gt;"",1+MAX($A$6:A188),"")</f>
        <v>118</v>
      </c>
      <c r="B189" s="115"/>
      <c r="C189" s="116"/>
      <c r="D189" s="132"/>
      <c r="E189" s="224" t="s">
        <v>188</v>
      </c>
      <c r="F189" s="222" t="s">
        <v>94</v>
      </c>
      <c r="G189" s="222">
        <v>874</v>
      </c>
      <c r="H189" s="133">
        <v>7.0000000000000007E-2</v>
      </c>
      <c r="I189" s="118">
        <f t="shared" si="126"/>
        <v>935.18000000000006</v>
      </c>
      <c r="J189" s="21">
        <v>0</v>
      </c>
      <c r="K189" s="21">
        <v>0</v>
      </c>
      <c r="L189" s="112">
        <f>J189*I189</f>
        <v>0</v>
      </c>
      <c r="M189" s="112">
        <f>K189*I189</f>
        <v>0</v>
      </c>
      <c r="N189" s="22">
        <f>L189+M189</f>
        <v>0</v>
      </c>
      <c r="O189" s="120"/>
      <c r="P189" s="134"/>
      <c r="Q189" s="134"/>
      <c r="R189" s="134"/>
    </row>
    <row r="190" spans="1:18" ht="15.75" x14ac:dyDescent="0.2">
      <c r="A190" s="114">
        <f>IF(G190&lt;&gt;"",1+MAX($A$6:A189),"")</f>
        <v>119</v>
      </c>
      <c r="B190" s="115" t="s">
        <v>141</v>
      </c>
      <c r="C190" s="116"/>
      <c r="D190" s="67"/>
      <c r="E190" s="225" t="s">
        <v>191</v>
      </c>
      <c r="F190" s="223" t="s">
        <v>94</v>
      </c>
      <c r="G190" s="223">
        <v>45.28</v>
      </c>
      <c r="H190" s="133"/>
      <c r="I190" s="221"/>
      <c r="J190" s="24"/>
      <c r="K190" s="24"/>
      <c r="L190" s="24"/>
      <c r="M190" s="24"/>
      <c r="N190" s="226"/>
      <c r="O190" s="19"/>
    </row>
    <row r="191" spans="1:18" ht="15.75" x14ac:dyDescent="0.2">
      <c r="A191" s="114">
        <f>IF(G191&lt;&gt;"",1+MAX($A$6:A190),"")</f>
        <v>120</v>
      </c>
      <c r="B191" s="115"/>
      <c r="C191" s="13"/>
      <c r="D191" s="12"/>
      <c r="E191" s="224" t="s">
        <v>185</v>
      </c>
      <c r="F191" s="222" t="s">
        <v>12</v>
      </c>
      <c r="G191" s="222">
        <v>920</v>
      </c>
      <c r="H191" s="6">
        <v>7.0000000000000007E-2</v>
      </c>
      <c r="I191" s="16">
        <f t="shared" si="126"/>
        <v>984.40000000000009</v>
      </c>
      <c r="J191" s="21">
        <v>0</v>
      </c>
      <c r="K191" s="21">
        <v>0</v>
      </c>
      <c r="L191" s="112">
        <f>J191*I191</f>
        <v>0</v>
      </c>
      <c r="M191" s="112">
        <f>K191*I191</f>
        <v>0</v>
      </c>
      <c r="N191" s="22">
        <f t="shared" ref="N191" si="127">L191+M191</f>
        <v>0</v>
      </c>
      <c r="O191" s="19"/>
    </row>
    <row r="192" spans="1:18" x14ac:dyDescent="0.15">
      <c r="A192" s="114" t="str">
        <f>IF(G192&lt;&gt;"",1+MAX($A$6:A191),"")</f>
        <v/>
      </c>
      <c r="B192" s="115"/>
      <c r="C192" s="262"/>
      <c r="D192" s="263"/>
      <c r="E192" s="139" t="s">
        <v>54</v>
      </c>
      <c r="F192" s="194" t="s">
        <v>58</v>
      </c>
      <c r="G192" s="268"/>
      <c r="H192" s="269"/>
      <c r="I192" s="140">
        <f>ROUNDUP((I191)/32,0)</f>
        <v>31</v>
      </c>
      <c r="J192" s="274"/>
      <c r="K192" s="275"/>
      <c r="L192" s="275"/>
      <c r="M192" s="275"/>
      <c r="N192" s="276"/>
      <c r="O192" s="61"/>
    </row>
    <row r="193" spans="1:18" x14ac:dyDescent="0.15">
      <c r="A193" s="114" t="str">
        <f>IF(G193&lt;&gt;"",1+MAX($A$6:A192),"")</f>
        <v/>
      </c>
      <c r="B193" s="115"/>
      <c r="C193" s="264"/>
      <c r="D193" s="265"/>
      <c r="E193" s="139" t="s">
        <v>55</v>
      </c>
      <c r="F193" s="194" t="s">
        <v>59</v>
      </c>
      <c r="G193" s="270"/>
      <c r="H193" s="271"/>
      <c r="I193" s="140">
        <f>ROUNDUP(I192*24/500,0)</f>
        <v>2</v>
      </c>
      <c r="J193" s="277"/>
      <c r="K193" s="278"/>
      <c r="L193" s="278"/>
      <c r="M193" s="278"/>
      <c r="N193" s="279"/>
      <c r="O193" s="61"/>
    </row>
    <row r="194" spans="1:18" x14ac:dyDescent="0.15">
      <c r="A194" s="114" t="str">
        <f>IF(G194&lt;&gt;"",1+MAX($A$6:A193),"")</f>
        <v/>
      </c>
      <c r="B194" s="115"/>
      <c r="C194" s="264"/>
      <c r="D194" s="265"/>
      <c r="E194" s="139" t="s">
        <v>56</v>
      </c>
      <c r="F194" s="194" t="s">
        <v>60</v>
      </c>
      <c r="G194" s="270"/>
      <c r="H194" s="271"/>
      <c r="I194" s="140">
        <f>ROUNDUP((I191)/200,0)</f>
        <v>5</v>
      </c>
      <c r="J194" s="277"/>
      <c r="K194" s="278"/>
      <c r="L194" s="278"/>
      <c r="M194" s="278"/>
      <c r="N194" s="279"/>
      <c r="O194" s="61"/>
    </row>
    <row r="195" spans="1:18" x14ac:dyDescent="0.15">
      <c r="A195" s="114" t="str">
        <f>IF(G195&lt;&gt;"",1+MAX($A$6:A194),"")</f>
        <v/>
      </c>
      <c r="B195" s="115"/>
      <c r="C195" s="266"/>
      <c r="D195" s="267"/>
      <c r="E195" s="139" t="s">
        <v>57</v>
      </c>
      <c r="F195" s="194" t="s">
        <v>61</v>
      </c>
      <c r="G195" s="272"/>
      <c r="H195" s="273"/>
      <c r="I195" s="140">
        <f>ROUNDUP((I191)*5.25/1000,0)</f>
        <v>6</v>
      </c>
      <c r="J195" s="280"/>
      <c r="K195" s="281"/>
      <c r="L195" s="281"/>
      <c r="M195" s="281"/>
      <c r="N195" s="282"/>
      <c r="O195" s="61"/>
    </row>
    <row r="196" spans="1:18" s="121" customFormat="1" ht="15.75" x14ac:dyDescent="0.2">
      <c r="A196" s="114">
        <f>IF(G196&lt;&gt;"",1+MAX($A$6:A195),"")</f>
        <v>121</v>
      </c>
      <c r="B196" s="115"/>
      <c r="C196" s="116"/>
      <c r="D196" s="132"/>
      <c r="E196" s="224" t="s">
        <v>192</v>
      </c>
      <c r="F196" s="222" t="s">
        <v>12</v>
      </c>
      <c r="G196" s="222">
        <v>920</v>
      </c>
      <c r="H196" s="133">
        <v>7.0000000000000007E-2</v>
      </c>
      <c r="I196" s="118">
        <f t="shared" si="126"/>
        <v>984.40000000000009</v>
      </c>
      <c r="J196" s="21">
        <v>0</v>
      </c>
      <c r="K196" s="21">
        <v>0</v>
      </c>
      <c r="L196" s="112">
        <f>J196*I196</f>
        <v>0</v>
      </c>
      <c r="M196" s="112">
        <f>K196*I196</f>
        <v>0</v>
      </c>
      <c r="N196" s="22">
        <f>L196+M196</f>
        <v>0</v>
      </c>
      <c r="O196" s="120"/>
      <c r="P196" s="134"/>
      <c r="Q196" s="134"/>
      <c r="R196" s="134"/>
    </row>
    <row r="197" spans="1:18" ht="15.75" x14ac:dyDescent="0.2">
      <c r="A197" s="114">
        <f>IF(G197&lt;&gt;"",1+MAX($A$6:A196),"")</f>
        <v>122</v>
      </c>
      <c r="B197" s="115"/>
      <c r="C197" s="116"/>
      <c r="D197" s="67"/>
      <c r="E197" s="224" t="s">
        <v>193</v>
      </c>
      <c r="F197" s="222" t="s">
        <v>12</v>
      </c>
      <c r="G197" s="222">
        <v>920</v>
      </c>
      <c r="H197" s="6">
        <v>7.0000000000000007E-2</v>
      </c>
      <c r="I197" s="16">
        <f t="shared" si="126"/>
        <v>984.40000000000009</v>
      </c>
      <c r="J197" s="21">
        <v>0</v>
      </c>
      <c r="K197" s="21">
        <v>0</v>
      </c>
      <c r="L197" s="112">
        <f>J197*I197</f>
        <v>0</v>
      </c>
      <c r="M197" s="112">
        <f>K197*I197</f>
        <v>0</v>
      </c>
      <c r="N197" s="22">
        <f t="shared" ref="N197:N198" si="128">L197+M197</f>
        <v>0</v>
      </c>
      <c r="O197" s="19"/>
    </row>
    <row r="198" spans="1:18" ht="15.75" x14ac:dyDescent="0.2">
      <c r="A198" s="114">
        <f>IF(G198&lt;&gt;"",1+MAX($A$6:A197),"")</f>
        <v>123</v>
      </c>
      <c r="B198" s="115"/>
      <c r="C198" s="13"/>
      <c r="D198" s="12"/>
      <c r="E198" s="224" t="s">
        <v>194</v>
      </c>
      <c r="F198" s="222" t="s">
        <v>94</v>
      </c>
      <c r="G198" s="222">
        <v>184</v>
      </c>
      <c r="H198" s="6">
        <v>7.0000000000000007E-2</v>
      </c>
      <c r="I198" s="16">
        <f t="shared" si="126"/>
        <v>196.88000000000002</v>
      </c>
      <c r="J198" s="21">
        <v>0</v>
      </c>
      <c r="K198" s="21">
        <v>0</v>
      </c>
      <c r="L198" s="112">
        <f>J198*I198</f>
        <v>0</v>
      </c>
      <c r="M198" s="112">
        <f>K198*I198</f>
        <v>0</v>
      </c>
      <c r="N198" s="22">
        <f t="shared" si="128"/>
        <v>0</v>
      </c>
      <c r="O198" s="19"/>
    </row>
    <row r="199" spans="1:18" s="121" customFormat="1" ht="15.75" x14ac:dyDescent="0.2">
      <c r="A199" s="114">
        <f>IF(G199&lt;&gt;"",1+MAX($A$6:A198),"")</f>
        <v>124</v>
      </c>
      <c r="B199" s="115" t="s">
        <v>141</v>
      </c>
      <c r="C199" s="116"/>
      <c r="D199" s="132"/>
      <c r="E199" s="225" t="s">
        <v>195</v>
      </c>
      <c r="F199" s="223" t="s">
        <v>94</v>
      </c>
      <c r="G199" s="223">
        <v>60.36</v>
      </c>
      <c r="H199" s="133"/>
      <c r="I199" s="221"/>
      <c r="J199" s="24"/>
      <c r="K199" s="24"/>
      <c r="L199" s="24"/>
      <c r="M199" s="24"/>
      <c r="N199" s="226"/>
      <c r="O199" s="120"/>
      <c r="P199" s="134"/>
      <c r="Q199" s="134"/>
      <c r="R199" s="134"/>
    </row>
    <row r="200" spans="1:18" ht="15.75" x14ac:dyDescent="0.2">
      <c r="A200" s="114">
        <f>IF(G200&lt;&gt;"",1+MAX($A$6:A199),"")</f>
        <v>125</v>
      </c>
      <c r="B200" s="115"/>
      <c r="C200" s="116"/>
      <c r="D200" s="67"/>
      <c r="E200" s="224" t="s">
        <v>185</v>
      </c>
      <c r="F200" s="222" t="s">
        <v>12</v>
      </c>
      <c r="G200" s="222">
        <v>1708</v>
      </c>
      <c r="H200" s="6">
        <v>7.0000000000000007E-2</v>
      </c>
      <c r="I200" s="16">
        <f t="shared" si="126"/>
        <v>1827.5600000000002</v>
      </c>
      <c r="J200" s="21">
        <v>0</v>
      </c>
      <c r="K200" s="21">
        <v>0</v>
      </c>
      <c r="L200" s="112">
        <f>J200*I200</f>
        <v>0</v>
      </c>
      <c r="M200" s="112">
        <f>K200*I200</f>
        <v>0</v>
      </c>
      <c r="N200" s="22">
        <f t="shared" ref="N200:N207" si="129">L200+M200</f>
        <v>0</v>
      </c>
      <c r="O200" s="19"/>
    </row>
    <row r="201" spans="1:18" x14ac:dyDescent="0.15">
      <c r="A201" s="114" t="str">
        <f>IF(G201&lt;&gt;"",1+MAX($A$6:A200),"")</f>
        <v/>
      </c>
      <c r="B201" s="115"/>
      <c r="C201" s="262"/>
      <c r="D201" s="263"/>
      <c r="E201" s="139" t="s">
        <v>54</v>
      </c>
      <c r="F201" s="194" t="s">
        <v>58</v>
      </c>
      <c r="G201" s="268"/>
      <c r="H201" s="269"/>
      <c r="I201" s="140">
        <f>ROUNDUP((I200)/32,0)</f>
        <v>58</v>
      </c>
      <c r="J201" s="274"/>
      <c r="K201" s="275"/>
      <c r="L201" s="275"/>
      <c r="M201" s="275"/>
      <c r="N201" s="276"/>
      <c r="O201" s="61"/>
    </row>
    <row r="202" spans="1:18" x14ac:dyDescent="0.15">
      <c r="A202" s="114" t="str">
        <f>IF(G202&lt;&gt;"",1+MAX($A$6:A201),"")</f>
        <v/>
      </c>
      <c r="B202" s="115"/>
      <c r="C202" s="264"/>
      <c r="D202" s="265"/>
      <c r="E202" s="139" t="s">
        <v>55</v>
      </c>
      <c r="F202" s="194" t="s">
        <v>59</v>
      </c>
      <c r="G202" s="270"/>
      <c r="H202" s="271"/>
      <c r="I202" s="140">
        <f>ROUNDUP(I201*24/500,0)</f>
        <v>3</v>
      </c>
      <c r="J202" s="277"/>
      <c r="K202" s="278"/>
      <c r="L202" s="278"/>
      <c r="M202" s="278"/>
      <c r="N202" s="279"/>
      <c r="O202" s="61"/>
    </row>
    <row r="203" spans="1:18" x14ac:dyDescent="0.15">
      <c r="A203" s="114" t="str">
        <f>IF(G203&lt;&gt;"",1+MAX($A$6:A202),"")</f>
        <v/>
      </c>
      <c r="B203" s="115"/>
      <c r="C203" s="264"/>
      <c r="D203" s="265"/>
      <c r="E203" s="139" t="s">
        <v>56</v>
      </c>
      <c r="F203" s="194" t="s">
        <v>60</v>
      </c>
      <c r="G203" s="270"/>
      <c r="H203" s="271"/>
      <c r="I203" s="140">
        <f>ROUNDUP((I200)/200,0)</f>
        <v>10</v>
      </c>
      <c r="J203" s="277"/>
      <c r="K203" s="278"/>
      <c r="L203" s="278"/>
      <c r="M203" s="278"/>
      <c r="N203" s="279"/>
      <c r="O203" s="61"/>
    </row>
    <row r="204" spans="1:18" x14ac:dyDescent="0.15">
      <c r="A204" s="114" t="str">
        <f>IF(G204&lt;&gt;"",1+MAX($A$6:A203),"")</f>
        <v/>
      </c>
      <c r="B204" s="115"/>
      <c r="C204" s="266"/>
      <c r="D204" s="267"/>
      <c r="E204" s="139" t="s">
        <v>57</v>
      </c>
      <c r="F204" s="194" t="s">
        <v>61</v>
      </c>
      <c r="G204" s="272"/>
      <c r="H204" s="273"/>
      <c r="I204" s="140">
        <f>ROUNDUP((I200)*5.25/1000,0)</f>
        <v>10</v>
      </c>
      <c r="J204" s="280"/>
      <c r="K204" s="281"/>
      <c r="L204" s="281"/>
      <c r="M204" s="281"/>
      <c r="N204" s="282"/>
      <c r="O204" s="61"/>
    </row>
    <row r="205" spans="1:18" ht="15.75" x14ac:dyDescent="0.2">
      <c r="A205" s="114">
        <f>IF(G205&lt;&gt;"",1+MAX($A$6:A204),"")</f>
        <v>126</v>
      </c>
      <c r="B205" s="115"/>
      <c r="C205" s="13"/>
      <c r="D205" s="65"/>
      <c r="E205" s="224" t="s">
        <v>186</v>
      </c>
      <c r="F205" s="222" t="s">
        <v>12</v>
      </c>
      <c r="G205" s="222">
        <v>854</v>
      </c>
      <c r="H205" s="6">
        <v>7.0000000000000007E-2</v>
      </c>
      <c r="I205" s="16">
        <f t="shared" si="126"/>
        <v>913.78000000000009</v>
      </c>
      <c r="J205" s="21">
        <v>0</v>
      </c>
      <c r="K205" s="21">
        <v>0</v>
      </c>
      <c r="L205" s="112">
        <f>J205*I205</f>
        <v>0</v>
      </c>
      <c r="M205" s="112">
        <f>K205*I205</f>
        <v>0</v>
      </c>
      <c r="N205" s="22">
        <f t="shared" si="129"/>
        <v>0</v>
      </c>
      <c r="O205" s="61"/>
    </row>
    <row r="206" spans="1:18" ht="15.75" x14ac:dyDescent="0.2">
      <c r="A206" s="114">
        <f>IF(G206&lt;&gt;"",1+MAX($A$6:A205),"")</f>
        <v>127</v>
      </c>
      <c r="B206" s="115"/>
      <c r="C206" s="13"/>
      <c r="D206" s="65"/>
      <c r="E206" s="224" t="s">
        <v>187</v>
      </c>
      <c r="F206" s="222" t="s">
        <v>12</v>
      </c>
      <c r="G206" s="222">
        <v>854</v>
      </c>
      <c r="H206" s="6">
        <v>7.0000000000000007E-2</v>
      </c>
      <c r="I206" s="16">
        <f t="shared" si="126"/>
        <v>913.78000000000009</v>
      </c>
      <c r="J206" s="21">
        <v>0</v>
      </c>
      <c r="K206" s="21">
        <v>0</v>
      </c>
      <c r="L206" s="112">
        <f>J206*I206</f>
        <v>0</v>
      </c>
      <c r="M206" s="112">
        <f>K206*I206</f>
        <v>0</v>
      </c>
      <c r="N206" s="22">
        <f t="shared" si="129"/>
        <v>0</v>
      </c>
      <c r="O206" s="61"/>
    </row>
    <row r="207" spans="1:18" ht="15.75" x14ac:dyDescent="0.2">
      <c r="A207" s="114">
        <f>IF(G207&lt;&gt;"",1+MAX($A$6:A206),"")</f>
        <v>128</v>
      </c>
      <c r="B207" s="115"/>
      <c r="C207" s="13"/>
      <c r="D207" s="65"/>
      <c r="E207" s="224" t="s">
        <v>188</v>
      </c>
      <c r="F207" s="222" t="s">
        <v>94</v>
      </c>
      <c r="G207" s="222">
        <v>122</v>
      </c>
      <c r="H207" s="6">
        <v>7.0000000000000007E-2</v>
      </c>
      <c r="I207" s="16">
        <f t="shared" si="126"/>
        <v>130.54000000000002</v>
      </c>
      <c r="J207" s="21">
        <v>0</v>
      </c>
      <c r="K207" s="21">
        <v>0</v>
      </c>
      <c r="L207" s="112">
        <f>J207*I207</f>
        <v>0</v>
      </c>
      <c r="M207" s="112">
        <f>K207*I207</f>
        <v>0</v>
      </c>
      <c r="N207" s="22">
        <f t="shared" si="129"/>
        <v>0</v>
      </c>
      <c r="O207" s="61"/>
    </row>
    <row r="208" spans="1:18" ht="15.75" x14ac:dyDescent="0.2">
      <c r="A208" s="114">
        <f>IF(G208&lt;&gt;"",1+MAX($A$6:A207),"")</f>
        <v>129</v>
      </c>
      <c r="B208" s="115" t="s">
        <v>141</v>
      </c>
      <c r="C208" s="13"/>
      <c r="D208" s="65"/>
      <c r="E208" s="225" t="s">
        <v>195</v>
      </c>
      <c r="F208" s="223" t="s">
        <v>94</v>
      </c>
      <c r="G208" s="223">
        <v>107.25</v>
      </c>
      <c r="H208" s="133"/>
      <c r="I208" s="221"/>
      <c r="J208" s="24"/>
      <c r="K208" s="24"/>
      <c r="L208" s="24"/>
      <c r="M208" s="24"/>
      <c r="N208" s="226"/>
      <c r="O208" s="61"/>
    </row>
    <row r="209" spans="1:18" s="121" customFormat="1" ht="15.75" x14ac:dyDescent="0.2">
      <c r="A209" s="114">
        <f>IF(G209&lt;&gt;"",1+MAX($A$6:A208),"")</f>
        <v>130</v>
      </c>
      <c r="B209" s="115"/>
      <c r="C209" s="116"/>
      <c r="D209" s="132"/>
      <c r="E209" s="224" t="s">
        <v>196</v>
      </c>
      <c r="F209" s="222" t="s">
        <v>12</v>
      </c>
      <c r="G209" s="222">
        <v>3024</v>
      </c>
      <c r="H209" s="133">
        <v>7.0000000000000007E-2</v>
      </c>
      <c r="I209" s="118">
        <f t="shared" si="126"/>
        <v>3235.6800000000003</v>
      </c>
      <c r="J209" s="21">
        <v>0</v>
      </c>
      <c r="K209" s="21">
        <v>0</v>
      </c>
      <c r="L209" s="112">
        <f>J209*I209</f>
        <v>0</v>
      </c>
      <c r="M209" s="112">
        <f>K209*I209</f>
        <v>0</v>
      </c>
      <c r="N209" s="22">
        <f>L209+M209</f>
        <v>0</v>
      </c>
      <c r="O209" s="120"/>
      <c r="P209" s="134"/>
      <c r="Q209" s="134"/>
      <c r="R209" s="134"/>
    </row>
    <row r="210" spans="1:18" x14ac:dyDescent="0.15">
      <c r="A210" s="114" t="str">
        <f>IF(G210&lt;&gt;"",1+MAX($A$6:A209),"")</f>
        <v/>
      </c>
      <c r="B210" s="115"/>
      <c r="C210" s="262"/>
      <c r="D210" s="263"/>
      <c r="E210" s="139" t="s">
        <v>54</v>
      </c>
      <c r="F210" s="194" t="s">
        <v>58</v>
      </c>
      <c r="G210" s="268"/>
      <c r="H210" s="269"/>
      <c r="I210" s="140">
        <f>ROUNDUP((I209)/32,0)</f>
        <v>102</v>
      </c>
      <c r="J210" s="274"/>
      <c r="K210" s="275"/>
      <c r="L210" s="275"/>
      <c r="M210" s="275"/>
      <c r="N210" s="276"/>
      <c r="O210" s="61"/>
    </row>
    <row r="211" spans="1:18" x14ac:dyDescent="0.15">
      <c r="A211" s="114" t="str">
        <f>IF(G211&lt;&gt;"",1+MAX($A$6:A210),"")</f>
        <v/>
      </c>
      <c r="B211" s="115"/>
      <c r="C211" s="264"/>
      <c r="D211" s="265"/>
      <c r="E211" s="139" t="s">
        <v>55</v>
      </c>
      <c r="F211" s="194" t="s">
        <v>59</v>
      </c>
      <c r="G211" s="270"/>
      <c r="H211" s="271"/>
      <c r="I211" s="140">
        <f>ROUNDUP(I210*24/500,0)</f>
        <v>5</v>
      </c>
      <c r="J211" s="277"/>
      <c r="K211" s="278"/>
      <c r="L211" s="278"/>
      <c r="M211" s="278"/>
      <c r="N211" s="279"/>
      <c r="O211" s="61"/>
    </row>
    <row r="212" spans="1:18" x14ac:dyDescent="0.15">
      <c r="A212" s="114" t="str">
        <f>IF(G212&lt;&gt;"",1+MAX($A$6:A211),"")</f>
        <v/>
      </c>
      <c r="B212" s="115"/>
      <c r="C212" s="264"/>
      <c r="D212" s="265"/>
      <c r="E212" s="139" t="s">
        <v>56</v>
      </c>
      <c r="F212" s="194" t="s">
        <v>60</v>
      </c>
      <c r="G212" s="270"/>
      <c r="H212" s="271"/>
      <c r="I212" s="140">
        <f>ROUNDUP((I209)/200,0)</f>
        <v>17</v>
      </c>
      <c r="J212" s="277"/>
      <c r="K212" s="278"/>
      <c r="L212" s="278"/>
      <c r="M212" s="278"/>
      <c r="N212" s="279"/>
      <c r="O212" s="61"/>
    </row>
    <row r="213" spans="1:18" x14ac:dyDescent="0.15">
      <c r="A213" s="114" t="str">
        <f>IF(G213&lt;&gt;"",1+MAX($A$6:A212),"")</f>
        <v/>
      </c>
      <c r="B213" s="115"/>
      <c r="C213" s="266"/>
      <c r="D213" s="267"/>
      <c r="E213" s="139" t="s">
        <v>57</v>
      </c>
      <c r="F213" s="194" t="s">
        <v>61</v>
      </c>
      <c r="G213" s="272"/>
      <c r="H213" s="273"/>
      <c r="I213" s="140">
        <f>ROUNDUP((I209)*5.25/1000,0)</f>
        <v>17</v>
      </c>
      <c r="J213" s="280"/>
      <c r="K213" s="281"/>
      <c r="L213" s="281"/>
      <c r="M213" s="281"/>
      <c r="N213" s="282"/>
      <c r="O213" s="61"/>
    </row>
    <row r="214" spans="1:18" ht="15.75" x14ac:dyDescent="0.2">
      <c r="A214" s="114">
        <f>IF(G214&lt;&gt;"",1+MAX($A$6:A213),"")</f>
        <v>131</v>
      </c>
      <c r="B214" s="115"/>
      <c r="C214" s="116"/>
      <c r="D214" s="67"/>
      <c r="E214" s="224" t="s">
        <v>186</v>
      </c>
      <c r="F214" s="222" t="s">
        <v>12</v>
      </c>
      <c r="G214" s="222">
        <v>1512</v>
      </c>
      <c r="H214" s="6">
        <v>7.0000000000000007E-2</v>
      </c>
      <c r="I214" s="16">
        <f t="shared" si="126"/>
        <v>1617.8400000000001</v>
      </c>
      <c r="J214" s="21">
        <v>0</v>
      </c>
      <c r="K214" s="21">
        <v>0</v>
      </c>
      <c r="L214" s="112">
        <f>J214*I214</f>
        <v>0</v>
      </c>
      <c r="M214" s="112">
        <f>K214*I214</f>
        <v>0</v>
      </c>
      <c r="N214" s="22">
        <f t="shared" ref="N214:N215" si="130">L214+M214</f>
        <v>0</v>
      </c>
      <c r="O214" s="19"/>
    </row>
    <row r="215" spans="1:18" ht="15.75" x14ac:dyDescent="0.2">
      <c r="A215" s="114">
        <f>IF(G215&lt;&gt;"",1+MAX($A$6:A214),"")</f>
        <v>132</v>
      </c>
      <c r="B215" s="115"/>
      <c r="C215" s="13"/>
      <c r="D215" s="12"/>
      <c r="E215" s="224" t="s">
        <v>187</v>
      </c>
      <c r="F215" s="222" t="s">
        <v>12</v>
      </c>
      <c r="G215" s="222">
        <v>1512</v>
      </c>
      <c r="H215" s="6">
        <v>7.0000000000000007E-2</v>
      </c>
      <c r="I215" s="16">
        <f t="shared" si="126"/>
        <v>1617.8400000000001</v>
      </c>
      <c r="J215" s="21">
        <v>0</v>
      </c>
      <c r="K215" s="21">
        <v>0</v>
      </c>
      <c r="L215" s="112">
        <f>J215*I215</f>
        <v>0</v>
      </c>
      <c r="M215" s="112">
        <f>K215*I215</f>
        <v>0</v>
      </c>
      <c r="N215" s="22">
        <f t="shared" si="130"/>
        <v>0</v>
      </c>
      <c r="O215" s="19"/>
    </row>
    <row r="216" spans="1:18" s="121" customFormat="1" ht="15.75" x14ac:dyDescent="0.2">
      <c r="A216" s="114">
        <f>IF(G216&lt;&gt;"",1+MAX($A$6:A215),"")</f>
        <v>133</v>
      </c>
      <c r="B216" s="115"/>
      <c r="C216" s="116"/>
      <c r="D216" s="132"/>
      <c r="E216" s="224" t="s">
        <v>188</v>
      </c>
      <c r="F216" s="222" t="s">
        <v>94</v>
      </c>
      <c r="G216" s="222">
        <v>216</v>
      </c>
      <c r="H216" s="133">
        <v>7.0000000000000007E-2</v>
      </c>
      <c r="I216" s="118">
        <f t="shared" si="126"/>
        <v>231.12</v>
      </c>
      <c r="J216" s="21">
        <v>0</v>
      </c>
      <c r="K216" s="21">
        <v>0</v>
      </c>
      <c r="L216" s="112">
        <f>J216*I216</f>
        <v>0</v>
      </c>
      <c r="M216" s="112">
        <f>K216*I216</f>
        <v>0</v>
      </c>
      <c r="N216" s="22">
        <f>L216+M216</f>
        <v>0</v>
      </c>
      <c r="O216" s="120"/>
      <c r="P216" s="134"/>
      <c r="Q216" s="134"/>
      <c r="R216" s="134"/>
    </row>
    <row r="217" spans="1:18" ht="15.75" x14ac:dyDescent="0.2">
      <c r="A217" s="114">
        <f>IF(G217&lt;&gt;"",1+MAX($A$6:A216),"")</f>
        <v>134</v>
      </c>
      <c r="B217" s="115" t="s">
        <v>141</v>
      </c>
      <c r="C217" s="116"/>
      <c r="D217" s="67"/>
      <c r="E217" s="225" t="s">
        <v>197</v>
      </c>
      <c r="F217" s="223" t="s">
        <v>94</v>
      </c>
      <c r="G217" s="223">
        <v>199.2</v>
      </c>
      <c r="H217" s="133"/>
      <c r="I217" s="221"/>
      <c r="J217" s="24"/>
      <c r="K217" s="24"/>
      <c r="L217" s="24"/>
      <c r="M217" s="24"/>
      <c r="N217" s="226"/>
      <c r="O217" s="19"/>
    </row>
    <row r="218" spans="1:18" ht="15.75" x14ac:dyDescent="0.2">
      <c r="A218" s="114">
        <f>IF(G218&lt;&gt;"",1+MAX($A$6:A217),"")</f>
        <v>135</v>
      </c>
      <c r="B218" s="115"/>
      <c r="C218" s="13"/>
      <c r="D218" s="65"/>
      <c r="E218" s="224" t="s">
        <v>185</v>
      </c>
      <c r="F218" s="222" t="s">
        <v>12</v>
      </c>
      <c r="G218" s="222">
        <v>4800</v>
      </c>
      <c r="H218" s="6">
        <v>7.0000000000000007E-2</v>
      </c>
      <c r="I218" s="16">
        <f t="shared" si="126"/>
        <v>5136</v>
      </c>
      <c r="J218" s="21">
        <v>0</v>
      </c>
      <c r="K218" s="21">
        <v>0</v>
      </c>
      <c r="L218" s="112">
        <f>J218*I218</f>
        <v>0</v>
      </c>
      <c r="M218" s="112">
        <f>K218*I218</f>
        <v>0</v>
      </c>
      <c r="N218" s="22">
        <f t="shared" ref="N218:N225" si="131">L218+M218</f>
        <v>0</v>
      </c>
      <c r="O218" s="61"/>
    </row>
    <row r="219" spans="1:18" x14ac:dyDescent="0.15">
      <c r="A219" s="114" t="str">
        <f>IF(G219&lt;&gt;"",1+MAX($A$6:A218),"")</f>
        <v/>
      </c>
      <c r="B219" s="115"/>
      <c r="C219" s="262"/>
      <c r="D219" s="263"/>
      <c r="E219" s="139" t="s">
        <v>54</v>
      </c>
      <c r="F219" s="194" t="s">
        <v>58</v>
      </c>
      <c r="G219" s="268"/>
      <c r="H219" s="269"/>
      <c r="I219" s="140">
        <f>ROUNDUP((I218)/32,0)</f>
        <v>161</v>
      </c>
      <c r="J219" s="274"/>
      <c r="K219" s="275"/>
      <c r="L219" s="275"/>
      <c r="M219" s="275"/>
      <c r="N219" s="276"/>
      <c r="O219" s="61"/>
    </row>
    <row r="220" spans="1:18" x14ac:dyDescent="0.15">
      <c r="A220" s="114" t="str">
        <f>IF(G220&lt;&gt;"",1+MAX($A$6:A219),"")</f>
        <v/>
      </c>
      <c r="B220" s="115"/>
      <c r="C220" s="264"/>
      <c r="D220" s="265"/>
      <c r="E220" s="139" t="s">
        <v>55</v>
      </c>
      <c r="F220" s="194" t="s">
        <v>59</v>
      </c>
      <c r="G220" s="270"/>
      <c r="H220" s="271"/>
      <c r="I220" s="140">
        <f>ROUNDUP(I219*24/500,0)</f>
        <v>8</v>
      </c>
      <c r="J220" s="277"/>
      <c r="K220" s="278"/>
      <c r="L220" s="278"/>
      <c r="M220" s="278"/>
      <c r="N220" s="279"/>
      <c r="O220" s="61"/>
    </row>
    <row r="221" spans="1:18" x14ac:dyDescent="0.15">
      <c r="A221" s="114" t="str">
        <f>IF(G221&lt;&gt;"",1+MAX($A$6:A220),"")</f>
        <v/>
      </c>
      <c r="B221" s="115"/>
      <c r="C221" s="264"/>
      <c r="D221" s="265"/>
      <c r="E221" s="139" t="s">
        <v>56</v>
      </c>
      <c r="F221" s="194" t="s">
        <v>60</v>
      </c>
      <c r="G221" s="270"/>
      <c r="H221" s="271"/>
      <c r="I221" s="140">
        <f>ROUNDUP((I218)/200,0)</f>
        <v>26</v>
      </c>
      <c r="J221" s="277"/>
      <c r="K221" s="278"/>
      <c r="L221" s="278"/>
      <c r="M221" s="278"/>
      <c r="N221" s="279"/>
      <c r="O221" s="61"/>
    </row>
    <row r="222" spans="1:18" x14ac:dyDescent="0.15">
      <c r="A222" s="114" t="str">
        <f>IF(G222&lt;&gt;"",1+MAX($A$6:A221),"")</f>
        <v/>
      </c>
      <c r="B222" s="115"/>
      <c r="C222" s="266"/>
      <c r="D222" s="267"/>
      <c r="E222" s="139" t="s">
        <v>57</v>
      </c>
      <c r="F222" s="194" t="s">
        <v>61</v>
      </c>
      <c r="G222" s="272"/>
      <c r="H222" s="273"/>
      <c r="I222" s="140">
        <f>ROUNDUP((I218)*5.25/1000,0)</f>
        <v>27</v>
      </c>
      <c r="J222" s="280"/>
      <c r="K222" s="281"/>
      <c r="L222" s="281"/>
      <c r="M222" s="281"/>
      <c r="N222" s="282"/>
      <c r="O222" s="61"/>
    </row>
    <row r="223" spans="1:18" ht="15.75" x14ac:dyDescent="0.2">
      <c r="A223" s="114">
        <f>IF(G223&lt;&gt;"",1+MAX($A$6:A222),"")</f>
        <v>136</v>
      </c>
      <c r="B223" s="115"/>
      <c r="C223" s="13"/>
      <c r="D223" s="65"/>
      <c r="E223" s="224" t="s">
        <v>186</v>
      </c>
      <c r="F223" s="222" t="s">
        <v>12</v>
      </c>
      <c r="G223" s="222">
        <v>2400</v>
      </c>
      <c r="H223" s="6">
        <v>7.0000000000000007E-2</v>
      </c>
      <c r="I223" s="16">
        <f t="shared" si="126"/>
        <v>2568</v>
      </c>
      <c r="J223" s="21">
        <v>0</v>
      </c>
      <c r="K223" s="21">
        <v>0</v>
      </c>
      <c r="L223" s="112">
        <f>J223*I223</f>
        <v>0</v>
      </c>
      <c r="M223" s="112">
        <f>K223*I223</f>
        <v>0</v>
      </c>
      <c r="N223" s="22">
        <f t="shared" si="131"/>
        <v>0</v>
      </c>
      <c r="O223" s="61"/>
    </row>
    <row r="224" spans="1:18" ht="15.75" x14ac:dyDescent="0.2">
      <c r="A224" s="114">
        <f>IF(G224&lt;&gt;"",1+MAX($A$6:A223),"")</f>
        <v>137</v>
      </c>
      <c r="B224" s="115"/>
      <c r="C224" s="13"/>
      <c r="D224" s="65"/>
      <c r="E224" s="224" t="s">
        <v>187</v>
      </c>
      <c r="F224" s="222" t="s">
        <v>12</v>
      </c>
      <c r="G224" s="222">
        <v>2400</v>
      </c>
      <c r="H224" s="6">
        <v>7.0000000000000007E-2</v>
      </c>
      <c r="I224" s="16">
        <f t="shared" si="126"/>
        <v>2568</v>
      </c>
      <c r="J224" s="21">
        <v>0</v>
      </c>
      <c r="K224" s="21">
        <v>0</v>
      </c>
      <c r="L224" s="112">
        <f>J224*I224</f>
        <v>0</v>
      </c>
      <c r="M224" s="112">
        <f>K224*I224</f>
        <v>0</v>
      </c>
      <c r="N224" s="22">
        <f t="shared" si="131"/>
        <v>0</v>
      </c>
      <c r="O224" s="61"/>
    </row>
    <row r="225" spans="1:18" ht="15.75" x14ac:dyDescent="0.2">
      <c r="A225" s="114">
        <f>IF(G225&lt;&gt;"",1+MAX($A$6:A224),"")</f>
        <v>138</v>
      </c>
      <c r="B225" s="115"/>
      <c r="C225" s="13"/>
      <c r="D225" s="65"/>
      <c r="E225" s="224" t="s">
        <v>188</v>
      </c>
      <c r="F225" s="222" t="s">
        <v>94</v>
      </c>
      <c r="G225" s="222">
        <v>400</v>
      </c>
      <c r="H225" s="6">
        <v>7.0000000000000007E-2</v>
      </c>
      <c r="I225" s="16">
        <f t="shared" si="126"/>
        <v>428</v>
      </c>
      <c r="J225" s="21">
        <v>0</v>
      </c>
      <c r="K225" s="21">
        <v>0</v>
      </c>
      <c r="L225" s="112">
        <f>J225*I225</f>
        <v>0</v>
      </c>
      <c r="M225" s="112">
        <f>K225*I225</f>
        <v>0</v>
      </c>
      <c r="N225" s="22">
        <f t="shared" si="131"/>
        <v>0</v>
      </c>
      <c r="O225" s="61"/>
    </row>
    <row r="226" spans="1:18" s="121" customFormat="1" ht="15.75" x14ac:dyDescent="0.2">
      <c r="A226" s="114">
        <f>IF(G226&lt;&gt;"",1+MAX($A$6:A225),"")</f>
        <v>139</v>
      </c>
      <c r="B226" s="115" t="s">
        <v>141</v>
      </c>
      <c r="C226" s="116"/>
      <c r="D226" s="132"/>
      <c r="E226" s="225" t="s">
        <v>198</v>
      </c>
      <c r="F226" s="223" t="s">
        <v>94</v>
      </c>
      <c r="G226" s="223">
        <v>103.88</v>
      </c>
      <c r="H226" s="133"/>
      <c r="I226" s="221"/>
      <c r="J226" s="24"/>
      <c r="K226" s="24"/>
      <c r="L226" s="24"/>
      <c r="M226" s="24"/>
      <c r="N226" s="226"/>
      <c r="O226" s="120"/>
      <c r="P226" s="134"/>
      <c r="Q226" s="134"/>
      <c r="R226" s="134"/>
    </row>
    <row r="227" spans="1:18" ht="15.75" x14ac:dyDescent="0.2">
      <c r="A227" s="114">
        <f>IF(G227&lt;&gt;"",1+MAX($A$6:A226),"")</f>
        <v>140</v>
      </c>
      <c r="B227" s="115"/>
      <c r="C227" s="116"/>
      <c r="D227" s="67"/>
      <c r="E227" s="224" t="s">
        <v>185</v>
      </c>
      <c r="F227" s="222" t="s">
        <v>12</v>
      </c>
      <c r="G227" s="222">
        <v>3328</v>
      </c>
      <c r="H227" s="6">
        <v>7.0000000000000007E-2</v>
      </c>
      <c r="I227" s="16">
        <f t="shared" si="126"/>
        <v>3560.96</v>
      </c>
      <c r="J227" s="21">
        <v>0</v>
      </c>
      <c r="K227" s="21">
        <v>0</v>
      </c>
      <c r="L227" s="112">
        <f>J227*I227</f>
        <v>0</v>
      </c>
      <c r="M227" s="112">
        <f>K227*I227</f>
        <v>0</v>
      </c>
      <c r="N227" s="22">
        <f t="shared" ref="N227:N232" si="132">L227+M227</f>
        <v>0</v>
      </c>
      <c r="O227" s="19"/>
    </row>
    <row r="228" spans="1:18" x14ac:dyDescent="0.15">
      <c r="A228" s="114" t="str">
        <f>IF(G228&lt;&gt;"",1+MAX($A$6:A227),"")</f>
        <v/>
      </c>
      <c r="B228" s="115"/>
      <c r="C228" s="262"/>
      <c r="D228" s="263"/>
      <c r="E228" s="139" t="s">
        <v>54</v>
      </c>
      <c r="F228" s="194" t="s">
        <v>58</v>
      </c>
      <c r="G228" s="268"/>
      <c r="H228" s="269"/>
      <c r="I228" s="140">
        <f>ROUNDUP((I227)/32,0)</f>
        <v>112</v>
      </c>
      <c r="J228" s="274"/>
      <c r="K228" s="275"/>
      <c r="L228" s="275"/>
      <c r="M228" s="275"/>
      <c r="N228" s="276"/>
      <c r="O228" s="61"/>
    </row>
    <row r="229" spans="1:18" x14ac:dyDescent="0.15">
      <c r="A229" s="114" t="str">
        <f>IF(G229&lt;&gt;"",1+MAX($A$6:A228),"")</f>
        <v/>
      </c>
      <c r="B229" s="115"/>
      <c r="C229" s="264"/>
      <c r="D229" s="265"/>
      <c r="E229" s="139" t="s">
        <v>55</v>
      </c>
      <c r="F229" s="194" t="s">
        <v>59</v>
      </c>
      <c r="G229" s="270"/>
      <c r="H229" s="271"/>
      <c r="I229" s="140">
        <f>ROUNDUP(I228*24/500,0)</f>
        <v>6</v>
      </c>
      <c r="J229" s="277"/>
      <c r="K229" s="278"/>
      <c r="L229" s="278"/>
      <c r="M229" s="278"/>
      <c r="N229" s="279"/>
      <c r="O229" s="61"/>
    </row>
    <row r="230" spans="1:18" x14ac:dyDescent="0.15">
      <c r="A230" s="114" t="str">
        <f>IF(G230&lt;&gt;"",1+MAX($A$6:A229),"")</f>
        <v/>
      </c>
      <c r="B230" s="115"/>
      <c r="C230" s="264"/>
      <c r="D230" s="265"/>
      <c r="E230" s="139" t="s">
        <v>56</v>
      </c>
      <c r="F230" s="194" t="s">
        <v>60</v>
      </c>
      <c r="G230" s="270"/>
      <c r="H230" s="271"/>
      <c r="I230" s="140">
        <f>ROUNDUP((I227)/200,0)</f>
        <v>18</v>
      </c>
      <c r="J230" s="277"/>
      <c r="K230" s="278"/>
      <c r="L230" s="278"/>
      <c r="M230" s="278"/>
      <c r="N230" s="279"/>
      <c r="O230" s="61"/>
    </row>
    <row r="231" spans="1:18" x14ac:dyDescent="0.15">
      <c r="A231" s="114" t="str">
        <f>IF(G231&lt;&gt;"",1+MAX($A$6:A230),"")</f>
        <v/>
      </c>
      <c r="B231" s="115"/>
      <c r="C231" s="266"/>
      <c r="D231" s="267"/>
      <c r="E231" s="139" t="s">
        <v>57</v>
      </c>
      <c r="F231" s="194" t="s">
        <v>61</v>
      </c>
      <c r="G231" s="272"/>
      <c r="H231" s="273"/>
      <c r="I231" s="140">
        <f>ROUNDUP((I227)*5.25/1000,0)</f>
        <v>19</v>
      </c>
      <c r="J231" s="280"/>
      <c r="K231" s="281"/>
      <c r="L231" s="281"/>
      <c r="M231" s="281"/>
      <c r="N231" s="282"/>
      <c r="O231" s="61"/>
    </row>
    <row r="232" spans="1:18" ht="15.75" x14ac:dyDescent="0.2">
      <c r="A232" s="114">
        <f>IF(G232&lt;&gt;"",1+MAX($A$6:A231),"")</f>
        <v>141</v>
      </c>
      <c r="B232" s="115"/>
      <c r="C232" s="13"/>
      <c r="D232" s="12"/>
      <c r="E232" s="224" t="s">
        <v>186</v>
      </c>
      <c r="F232" s="222" t="s">
        <v>12</v>
      </c>
      <c r="G232" s="222">
        <v>1664</v>
      </c>
      <c r="H232" s="6">
        <v>7.0000000000000007E-2</v>
      </c>
      <c r="I232" s="16">
        <f t="shared" si="126"/>
        <v>1780.48</v>
      </c>
      <c r="J232" s="21">
        <v>0</v>
      </c>
      <c r="K232" s="21">
        <v>0</v>
      </c>
      <c r="L232" s="112">
        <f>J232*I232</f>
        <v>0</v>
      </c>
      <c r="M232" s="112">
        <f>K232*I232</f>
        <v>0</v>
      </c>
      <c r="N232" s="22">
        <f t="shared" si="132"/>
        <v>0</v>
      </c>
      <c r="O232" s="19"/>
    </row>
    <row r="233" spans="1:18" s="121" customFormat="1" ht="15.75" x14ac:dyDescent="0.2">
      <c r="A233" s="114">
        <f>IF(G233&lt;&gt;"",1+MAX($A$6:A232),"")</f>
        <v>142</v>
      </c>
      <c r="B233" s="115"/>
      <c r="C233" s="116"/>
      <c r="D233" s="132"/>
      <c r="E233" s="224" t="s">
        <v>187</v>
      </c>
      <c r="F233" s="222" t="s">
        <v>12</v>
      </c>
      <c r="G233" s="222">
        <v>1664</v>
      </c>
      <c r="H233" s="133">
        <v>7.0000000000000007E-2</v>
      </c>
      <c r="I233" s="118">
        <f t="shared" si="126"/>
        <v>1780.48</v>
      </c>
      <c r="J233" s="21">
        <v>0</v>
      </c>
      <c r="K233" s="21">
        <v>0</v>
      </c>
      <c r="L233" s="112">
        <f>J233*I233</f>
        <v>0</v>
      </c>
      <c r="M233" s="112">
        <f>K233*I233</f>
        <v>0</v>
      </c>
      <c r="N233" s="22">
        <f>L233+M233</f>
        <v>0</v>
      </c>
      <c r="O233" s="120"/>
      <c r="P233" s="134"/>
      <c r="Q233" s="134"/>
      <c r="R233" s="134"/>
    </row>
    <row r="234" spans="1:18" ht="16.5" thickBot="1" x14ac:dyDescent="0.25">
      <c r="A234" s="114">
        <f>IF(G234&lt;&gt;"",1+MAX($A$6:A233),"")</f>
        <v>143</v>
      </c>
      <c r="B234" s="115"/>
      <c r="C234" s="116"/>
      <c r="D234" s="67"/>
      <c r="E234" s="224" t="s">
        <v>188</v>
      </c>
      <c r="F234" s="222" t="s">
        <v>94</v>
      </c>
      <c r="G234" s="222">
        <v>208</v>
      </c>
      <c r="H234" s="6">
        <v>7.0000000000000007E-2</v>
      </c>
      <c r="I234" s="16">
        <f t="shared" si="126"/>
        <v>222.56</v>
      </c>
      <c r="J234" s="21">
        <v>0</v>
      </c>
      <c r="K234" s="21">
        <v>0</v>
      </c>
      <c r="L234" s="112">
        <f>J234*I234</f>
        <v>0</v>
      </c>
      <c r="M234" s="112">
        <f>K234*I234</f>
        <v>0</v>
      </c>
      <c r="N234" s="22">
        <f t="shared" ref="N234:N237" si="133">L234+M234</f>
        <v>0</v>
      </c>
      <c r="O234" s="19"/>
    </row>
    <row r="235" spans="1:18" ht="15.75" thickBot="1" x14ac:dyDescent="0.2">
      <c r="A235" s="114" t="str">
        <f>IF(G235&lt;&gt;"",1+MAX($A$6:A234),"")</f>
        <v/>
      </c>
      <c r="B235" s="115"/>
      <c r="C235" s="50"/>
      <c r="D235" s="67"/>
      <c r="E235" s="259" t="s">
        <v>63</v>
      </c>
      <c r="F235" s="260"/>
      <c r="G235" s="261"/>
      <c r="H235" s="52"/>
      <c r="I235" s="53"/>
      <c r="J235" s="54"/>
      <c r="K235" s="54"/>
      <c r="L235" s="54"/>
      <c r="M235" s="54"/>
      <c r="N235" s="55"/>
      <c r="O235" s="19"/>
    </row>
    <row r="236" spans="1:18" ht="15.75" x14ac:dyDescent="0.2">
      <c r="A236" s="114">
        <f>IF(G236&lt;&gt;"",1+MAX($A$6:A235),"")</f>
        <v>144</v>
      </c>
      <c r="B236" s="115" t="s">
        <v>141</v>
      </c>
      <c r="C236" s="13"/>
      <c r="D236" s="65"/>
      <c r="E236" s="224" t="s">
        <v>52</v>
      </c>
      <c r="F236" s="222" t="s">
        <v>12</v>
      </c>
      <c r="G236" s="222">
        <v>1051.08</v>
      </c>
      <c r="H236" s="6">
        <v>7.0000000000000007E-2</v>
      </c>
      <c r="I236" s="16">
        <f t="shared" si="126"/>
        <v>1124.6556</v>
      </c>
      <c r="J236" s="21">
        <v>0</v>
      </c>
      <c r="K236" s="21">
        <v>0</v>
      </c>
      <c r="L236" s="112">
        <f>J236*I236</f>
        <v>0</v>
      </c>
      <c r="M236" s="112">
        <f>K236*I236</f>
        <v>0</v>
      </c>
      <c r="N236" s="22">
        <f t="shared" si="133"/>
        <v>0</v>
      </c>
      <c r="O236" s="61"/>
    </row>
    <row r="237" spans="1:18" ht="15.75" x14ac:dyDescent="0.2">
      <c r="A237" s="114">
        <f>IF(G237&lt;&gt;"",1+MAX($A$6:A236),"")</f>
        <v>145</v>
      </c>
      <c r="B237" s="115" t="s">
        <v>141</v>
      </c>
      <c r="C237" s="13"/>
      <c r="D237" s="65"/>
      <c r="E237" s="224" t="s">
        <v>199</v>
      </c>
      <c r="F237" s="222" t="s">
        <v>12</v>
      </c>
      <c r="G237" s="222">
        <v>5672.09</v>
      </c>
      <c r="H237" s="6">
        <v>7.0000000000000007E-2</v>
      </c>
      <c r="I237" s="16">
        <f t="shared" ref="I237:I243" si="134">G237*(1+H237)</f>
        <v>6069.1363000000001</v>
      </c>
      <c r="J237" s="21">
        <v>0</v>
      </c>
      <c r="K237" s="21">
        <v>0</v>
      </c>
      <c r="L237" s="112">
        <f>J237*I237</f>
        <v>0</v>
      </c>
      <c r="M237" s="112">
        <f>K237*I237</f>
        <v>0</v>
      </c>
      <c r="N237" s="22">
        <f t="shared" si="133"/>
        <v>0</v>
      </c>
      <c r="O237" s="61"/>
    </row>
    <row r="238" spans="1:18" s="121" customFormat="1" ht="15.75" x14ac:dyDescent="0.2">
      <c r="A238" s="114">
        <f>IF(G238&lt;&gt;"",1+MAX($A$6:A237),"")</f>
        <v>146</v>
      </c>
      <c r="B238" s="115" t="s">
        <v>141</v>
      </c>
      <c r="C238" s="116"/>
      <c r="D238" s="132"/>
      <c r="E238" s="224" t="s">
        <v>102</v>
      </c>
      <c r="F238" s="222" t="s">
        <v>94</v>
      </c>
      <c r="G238" s="222">
        <v>1138.98</v>
      </c>
      <c r="H238" s="133">
        <v>7.0000000000000007E-2</v>
      </c>
      <c r="I238" s="118">
        <f t="shared" si="134"/>
        <v>1218.7086000000002</v>
      </c>
      <c r="J238" s="21">
        <v>0</v>
      </c>
      <c r="K238" s="21">
        <v>0</v>
      </c>
      <c r="L238" s="112">
        <f>J238*I238</f>
        <v>0</v>
      </c>
      <c r="M238" s="112">
        <f>K238*I238</f>
        <v>0</v>
      </c>
      <c r="N238" s="22">
        <f>L238+M238</f>
        <v>0</v>
      </c>
      <c r="O238" s="120"/>
      <c r="P238" s="134"/>
      <c r="Q238" s="134"/>
      <c r="R238" s="134"/>
    </row>
    <row r="239" spans="1:18" ht="16.5" thickBot="1" x14ac:dyDescent="0.25">
      <c r="A239" s="114">
        <f>IF(G239&lt;&gt;"",1+MAX($A$6:A238),"")</f>
        <v>147</v>
      </c>
      <c r="B239" s="115" t="s">
        <v>141</v>
      </c>
      <c r="C239" s="116"/>
      <c r="D239" s="67"/>
      <c r="E239" s="224" t="s">
        <v>200</v>
      </c>
      <c r="F239" s="222" t="s">
        <v>12</v>
      </c>
      <c r="G239" s="222">
        <v>2888.03</v>
      </c>
      <c r="H239" s="6">
        <v>7.0000000000000007E-2</v>
      </c>
      <c r="I239" s="16">
        <f t="shared" si="134"/>
        <v>3090.1921000000002</v>
      </c>
      <c r="J239" s="21">
        <v>0</v>
      </c>
      <c r="K239" s="21">
        <v>0</v>
      </c>
      <c r="L239" s="112">
        <f>J239*I239</f>
        <v>0</v>
      </c>
      <c r="M239" s="112">
        <f>K239*I239</f>
        <v>0</v>
      </c>
      <c r="N239" s="22">
        <f t="shared" ref="N239:N243" si="135">L239+M239</f>
        <v>0</v>
      </c>
      <c r="O239" s="19"/>
    </row>
    <row r="240" spans="1:18" ht="15.75" thickBot="1" x14ac:dyDescent="0.2">
      <c r="A240" s="114" t="str">
        <f>IF(G240&lt;&gt;"",1+MAX($A$6:A239),"")</f>
        <v/>
      </c>
      <c r="B240" s="115"/>
      <c r="C240" s="50"/>
      <c r="D240" s="67"/>
      <c r="E240" s="259" t="s">
        <v>65</v>
      </c>
      <c r="F240" s="260"/>
      <c r="G240" s="261"/>
      <c r="H240" s="52"/>
      <c r="I240" s="53"/>
      <c r="J240" s="54"/>
      <c r="K240" s="54"/>
      <c r="L240" s="54"/>
      <c r="M240" s="54"/>
      <c r="N240" s="55"/>
      <c r="O240" s="19"/>
    </row>
    <row r="241" spans="1:18" ht="16.5" thickBot="1" x14ac:dyDescent="0.25">
      <c r="A241" s="114">
        <f>IF(G241&lt;&gt;"",1+MAX($A$6:A240),"")</f>
        <v>148</v>
      </c>
      <c r="B241" s="115" t="s">
        <v>141</v>
      </c>
      <c r="C241" s="13"/>
      <c r="D241" s="65"/>
      <c r="E241" s="224" t="s">
        <v>53</v>
      </c>
      <c r="F241" s="222" t="s">
        <v>12</v>
      </c>
      <c r="G241" s="222">
        <f>327.12*7</f>
        <v>2289.84</v>
      </c>
      <c r="H241" s="6">
        <v>7.0000000000000007E-2</v>
      </c>
      <c r="I241" s="16">
        <f t="shared" ref="I241" si="136">G241*(1+H241)</f>
        <v>2450.1288000000004</v>
      </c>
      <c r="J241" s="21">
        <v>0</v>
      </c>
      <c r="K241" s="21">
        <v>0</v>
      </c>
      <c r="L241" s="112">
        <f>J241*I241</f>
        <v>0</v>
      </c>
      <c r="M241" s="112">
        <f>K241*I241</f>
        <v>0</v>
      </c>
      <c r="N241" s="22">
        <f t="shared" ref="N241" si="137">L241+M241</f>
        <v>0</v>
      </c>
      <c r="O241" s="61"/>
    </row>
    <row r="242" spans="1:18" ht="15.75" thickBot="1" x14ac:dyDescent="0.2">
      <c r="A242" s="114" t="str">
        <f>IF(G242&lt;&gt;"",1+MAX($A$6:A241),"")</f>
        <v/>
      </c>
      <c r="B242" s="115"/>
      <c r="C242" s="50"/>
      <c r="D242" s="67"/>
      <c r="E242" s="259" t="s">
        <v>62</v>
      </c>
      <c r="F242" s="260"/>
      <c r="G242" s="261"/>
      <c r="H242" s="52"/>
      <c r="I242" s="53"/>
      <c r="J242" s="54"/>
      <c r="K242" s="54"/>
      <c r="L242" s="54"/>
      <c r="M242" s="54"/>
      <c r="N242" s="55"/>
      <c r="O242" s="19"/>
    </row>
    <row r="243" spans="1:18" ht="15.75" x14ac:dyDescent="0.2">
      <c r="A243" s="114">
        <f>IF(G243&lt;&gt;"",1+MAX($A$6:A242),"")</f>
        <v>149</v>
      </c>
      <c r="B243" s="115" t="s">
        <v>141</v>
      </c>
      <c r="C243" s="13"/>
      <c r="D243" s="12"/>
      <c r="E243" s="224" t="s">
        <v>201</v>
      </c>
      <c r="F243" s="222" t="s">
        <v>12</v>
      </c>
      <c r="G243" s="222">
        <v>2792.55</v>
      </c>
      <c r="H243" s="6">
        <v>7.0000000000000007E-2</v>
      </c>
      <c r="I243" s="16">
        <f t="shared" si="134"/>
        <v>2988.0285000000003</v>
      </c>
      <c r="J243" s="21">
        <v>0</v>
      </c>
      <c r="K243" s="21">
        <v>0</v>
      </c>
      <c r="L243" s="112">
        <f>J243*I243</f>
        <v>0</v>
      </c>
      <c r="M243" s="112">
        <f>K243*I243</f>
        <v>0</v>
      </c>
      <c r="N243" s="22">
        <f t="shared" si="135"/>
        <v>0</v>
      </c>
      <c r="O243" s="19"/>
    </row>
    <row r="244" spans="1:18" s="121" customFormat="1" ht="15.75" x14ac:dyDescent="0.2">
      <c r="A244" s="114">
        <f>IF(G244&lt;&gt;"",1+MAX($A$6:A243),"")</f>
        <v>150</v>
      </c>
      <c r="B244" s="115" t="s">
        <v>141</v>
      </c>
      <c r="C244" s="116"/>
      <c r="D244" s="132"/>
      <c r="E244" s="224" t="s">
        <v>202</v>
      </c>
      <c r="F244" s="222" t="s">
        <v>12</v>
      </c>
      <c r="G244" s="222">
        <v>1494.07</v>
      </c>
      <c r="H244" s="133">
        <v>7.0000000000000007E-2</v>
      </c>
      <c r="I244" s="118">
        <f t="shared" si="126"/>
        <v>1598.6549</v>
      </c>
      <c r="J244" s="21">
        <v>0</v>
      </c>
      <c r="K244" s="21">
        <v>0</v>
      </c>
      <c r="L244" s="112">
        <f>J244*I244</f>
        <v>0</v>
      </c>
      <c r="M244" s="112">
        <f>K244*I244</f>
        <v>0</v>
      </c>
      <c r="N244" s="22">
        <f>L244+M244</f>
        <v>0</v>
      </c>
      <c r="O244" s="120"/>
      <c r="P244" s="134"/>
      <c r="Q244" s="134"/>
      <c r="R244" s="134"/>
    </row>
    <row r="245" spans="1:18" ht="16.5" thickBot="1" x14ac:dyDescent="0.25">
      <c r="A245" s="114">
        <f>IF(G245&lt;&gt;"",1+MAX($A$6:A244),"")</f>
        <v>151</v>
      </c>
      <c r="B245" s="115" t="s">
        <v>141</v>
      </c>
      <c r="C245" s="116"/>
      <c r="D245" s="67"/>
      <c r="E245" s="224" t="s">
        <v>203</v>
      </c>
      <c r="F245" s="222" t="s">
        <v>12</v>
      </c>
      <c r="G245" s="222">
        <v>1662.47</v>
      </c>
      <c r="H245" s="6">
        <v>7.0000000000000007E-2</v>
      </c>
      <c r="I245" s="16">
        <f t="shared" si="126"/>
        <v>1778.8429000000001</v>
      </c>
      <c r="J245" s="21">
        <v>0</v>
      </c>
      <c r="K245" s="21">
        <v>0</v>
      </c>
      <c r="L245" s="112">
        <f>J245*I245</f>
        <v>0</v>
      </c>
      <c r="M245" s="112">
        <f>K245*I245</f>
        <v>0</v>
      </c>
      <c r="N245" s="22">
        <f t="shared" ref="N245:N250" si="138">L245+M245</f>
        <v>0</v>
      </c>
      <c r="O245" s="19"/>
    </row>
    <row r="246" spans="1:18" ht="15.75" thickBot="1" x14ac:dyDescent="0.2">
      <c r="A246" s="114" t="str">
        <f>IF(G246&lt;&gt;"",1+MAX($A$6:A245),"")</f>
        <v/>
      </c>
      <c r="B246" s="115"/>
      <c r="C246" s="50"/>
      <c r="D246" s="67"/>
      <c r="E246" s="259" t="s">
        <v>64</v>
      </c>
      <c r="F246" s="260"/>
      <c r="G246" s="261"/>
      <c r="H246" s="52"/>
      <c r="I246" s="53"/>
      <c r="J246" s="54"/>
      <c r="K246" s="54"/>
      <c r="L246" s="54"/>
      <c r="M246" s="54"/>
      <c r="N246" s="55"/>
      <c r="O246" s="19"/>
    </row>
    <row r="247" spans="1:18" ht="15.75" x14ac:dyDescent="0.2">
      <c r="A247" s="114">
        <f>IF(G247&lt;&gt;"",1+MAX($A$6:A246),"")</f>
        <v>152</v>
      </c>
      <c r="B247" s="115" t="s">
        <v>210</v>
      </c>
      <c r="C247" s="13"/>
      <c r="D247" s="65"/>
      <c r="E247" s="224" t="s">
        <v>204</v>
      </c>
      <c r="F247" s="222" t="s">
        <v>209</v>
      </c>
      <c r="G247" s="222">
        <v>2</v>
      </c>
      <c r="H247" s="6">
        <v>7.0000000000000007E-2</v>
      </c>
      <c r="I247" s="16">
        <f t="shared" si="126"/>
        <v>2.14</v>
      </c>
      <c r="J247" s="21">
        <v>0</v>
      </c>
      <c r="K247" s="21">
        <v>0</v>
      </c>
      <c r="L247" s="112">
        <f t="shared" ref="L247:L254" si="139">J247*I247</f>
        <v>0</v>
      </c>
      <c r="M247" s="112">
        <f t="shared" ref="M247:M254" si="140">K247*I247</f>
        <v>0</v>
      </c>
      <c r="N247" s="22">
        <f t="shared" si="138"/>
        <v>0</v>
      </c>
      <c r="O247" s="61"/>
    </row>
    <row r="248" spans="1:18" s="121" customFormat="1" ht="15.75" x14ac:dyDescent="0.2">
      <c r="A248" s="114">
        <f>IF(G248&lt;&gt;"",1+MAX($A$6:A247),"")</f>
        <v>153</v>
      </c>
      <c r="B248" s="115" t="s">
        <v>210</v>
      </c>
      <c r="C248" s="116"/>
      <c r="D248" s="227"/>
      <c r="E248" s="224" t="s">
        <v>205</v>
      </c>
      <c r="F248" s="222" t="s">
        <v>209</v>
      </c>
      <c r="G248" s="222">
        <v>1</v>
      </c>
      <c r="H248" s="133">
        <v>7.0000000000000007E-2</v>
      </c>
      <c r="I248" s="118">
        <f t="shared" si="126"/>
        <v>1.07</v>
      </c>
      <c r="J248" s="209">
        <v>0</v>
      </c>
      <c r="K248" s="209">
        <v>0</v>
      </c>
      <c r="L248" s="210">
        <f t="shared" si="139"/>
        <v>0</v>
      </c>
      <c r="M248" s="210">
        <f t="shared" si="140"/>
        <v>0</v>
      </c>
      <c r="N248" s="211">
        <f t="shared" si="138"/>
        <v>0</v>
      </c>
      <c r="O248" s="228"/>
    </row>
    <row r="249" spans="1:18" s="121" customFormat="1" ht="15.75" x14ac:dyDescent="0.2">
      <c r="A249" s="114">
        <f>IF(G249&lt;&gt;"",1+MAX($A$6:A248),"")</f>
        <v>154</v>
      </c>
      <c r="B249" s="115" t="s">
        <v>210</v>
      </c>
      <c r="C249" s="116"/>
      <c r="D249" s="227"/>
      <c r="E249" s="224" t="s">
        <v>206</v>
      </c>
      <c r="F249" s="222" t="s">
        <v>209</v>
      </c>
      <c r="G249" s="222">
        <v>2</v>
      </c>
      <c r="H249" s="133">
        <v>7.0000000000000007E-2</v>
      </c>
      <c r="I249" s="118">
        <f t="shared" si="126"/>
        <v>2.14</v>
      </c>
      <c r="J249" s="209">
        <v>0</v>
      </c>
      <c r="K249" s="209">
        <v>0</v>
      </c>
      <c r="L249" s="210">
        <f t="shared" si="139"/>
        <v>0</v>
      </c>
      <c r="M249" s="210">
        <f t="shared" si="140"/>
        <v>0</v>
      </c>
      <c r="N249" s="211">
        <f t="shared" si="138"/>
        <v>0</v>
      </c>
      <c r="O249" s="228"/>
    </row>
    <row r="250" spans="1:18" s="121" customFormat="1" ht="30" x14ac:dyDescent="0.2">
      <c r="A250" s="114">
        <f>IF(G250&lt;&gt;"",1+MAX($A$6:A249),"")</f>
        <v>155</v>
      </c>
      <c r="B250" s="115" t="s">
        <v>210</v>
      </c>
      <c r="C250" s="116"/>
      <c r="D250" s="227"/>
      <c r="E250" s="224" t="s">
        <v>207</v>
      </c>
      <c r="F250" s="222" t="s">
        <v>209</v>
      </c>
      <c r="G250" s="222">
        <v>1</v>
      </c>
      <c r="H250" s="133">
        <v>7.0000000000000007E-2</v>
      </c>
      <c r="I250" s="118">
        <f t="shared" ref="I250:I251" si="141">G250*(1+H250)</f>
        <v>1.07</v>
      </c>
      <c r="J250" s="209">
        <v>0</v>
      </c>
      <c r="K250" s="209">
        <v>0</v>
      </c>
      <c r="L250" s="210">
        <f t="shared" si="139"/>
        <v>0</v>
      </c>
      <c r="M250" s="210">
        <f t="shared" si="140"/>
        <v>0</v>
      </c>
      <c r="N250" s="211">
        <f t="shared" si="138"/>
        <v>0</v>
      </c>
      <c r="O250" s="228"/>
    </row>
    <row r="251" spans="1:18" s="121" customFormat="1" ht="15.75" x14ac:dyDescent="0.2">
      <c r="A251" s="114">
        <f>IF(G251&lt;&gt;"",1+MAX($A$6:A250),"")</f>
        <v>156</v>
      </c>
      <c r="B251" s="115" t="s">
        <v>141</v>
      </c>
      <c r="C251" s="116"/>
      <c r="D251" s="132"/>
      <c r="E251" s="224" t="s">
        <v>208</v>
      </c>
      <c r="F251" s="222" t="s">
        <v>12</v>
      </c>
      <c r="G251" s="222">
        <v>40173.410000000003</v>
      </c>
      <c r="H251" s="133">
        <v>7.0000000000000007E-2</v>
      </c>
      <c r="I251" s="118">
        <f t="shared" si="141"/>
        <v>42985.548700000007</v>
      </c>
      <c r="J251" s="21">
        <v>0</v>
      </c>
      <c r="K251" s="21">
        <v>0</v>
      </c>
      <c r="L251" s="112">
        <f t="shared" si="139"/>
        <v>0</v>
      </c>
      <c r="M251" s="112">
        <f t="shared" si="140"/>
        <v>0</v>
      </c>
      <c r="N251" s="22">
        <f>L251+M251</f>
        <v>0</v>
      </c>
      <c r="O251" s="120"/>
      <c r="P251" s="134"/>
      <c r="Q251" s="134"/>
      <c r="R251" s="134"/>
    </row>
    <row r="252" spans="1:18" ht="15.75" x14ac:dyDescent="0.2">
      <c r="A252" s="114">
        <f>IF(G252&lt;&gt;"",1+MAX($A$6:A251),"")</f>
        <v>157</v>
      </c>
      <c r="B252" s="115" t="s">
        <v>141</v>
      </c>
      <c r="C252" s="13"/>
      <c r="D252" s="12"/>
      <c r="E252" s="23" t="s">
        <v>66</v>
      </c>
      <c r="F252" s="119" t="s">
        <v>12</v>
      </c>
      <c r="G252" s="222">
        <v>1494.07</v>
      </c>
      <c r="H252" s="6">
        <v>7.0000000000000007E-2</v>
      </c>
      <c r="I252" s="16">
        <f t="shared" ref="I252:I254" si="142">G252*(1+H252)</f>
        <v>1598.6549</v>
      </c>
      <c r="J252" s="21">
        <v>0</v>
      </c>
      <c r="K252" s="21">
        <v>0</v>
      </c>
      <c r="L252" s="112">
        <f t="shared" si="139"/>
        <v>0</v>
      </c>
      <c r="M252" s="112">
        <f t="shared" si="140"/>
        <v>0</v>
      </c>
      <c r="N252" s="22">
        <f t="shared" ref="N252" si="143">L252+M252</f>
        <v>0</v>
      </c>
      <c r="O252" s="19"/>
    </row>
    <row r="253" spans="1:18" s="121" customFormat="1" ht="15.75" x14ac:dyDescent="0.2">
      <c r="A253" s="114">
        <f>IF(G253&lt;&gt;"",1+MAX($A$6:A252),"")</f>
        <v>158</v>
      </c>
      <c r="B253" s="115" t="s">
        <v>141</v>
      </c>
      <c r="C253" s="116"/>
      <c r="D253" s="132"/>
      <c r="E253" s="135" t="s">
        <v>67</v>
      </c>
      <c r="F253" s="119" t="s">
        <v>12</v>
      </c>
      <c r="G253" s="136">
        <v>69694</v>
      </c>
      <c r="H253" s="133">
        <v>7.0000000000000007E-2</v>
      </c>
      <c r="I253" s="118">
        <f t="shared" si="142"/>
        <v>74572.58</v>
      </c>
      <c r="J253" s="21">
        <v>0</v>
      </c>
      <c r="K253" s="21">
        <v>0</v>
      </c>
      <c r="L253" s="112">
        <f t="shared" si="139"/>
        <v>0</v>
      </c>
      <c r="M253" s="112">
        <f t="shared" si="140"/>
        <v>0</v>
      </c>
      <c r="N253" s="22">
        <f>L253+M253</f>
        <v>0</v>
      </c>
      <c r="O253" s="120"/>
      <c r="P253" s="134"/>
      <c r="Q253" s="134"/>
      <c r="R253" s="134"/>
    </row>
    <row r="254" spans="1:18" ht="15.75" x14ac:dyDescent="0.2">
      <c r="A254" s="114">
        <f>IF(G254&lt;&gt;"",1+MAX($A$6:A253),"")</f>
        <v>159</v>
      </c>
      <c r="B254" s="115" t="s">
        <v>141</v>
      </c>
      <c r="C254" s="116"/>
      <c r="D254" s="67"/>
      <c r="E254" s="66" t="s">
        <v>68</v>
      </c>
      <c r="F254" s="119" t="s">
        <v>33</v>
      </c>
      <c r="G254" s="136">
        <v>52</v>
      </c>
      <c r="H254" s="6">
        <v>7.0000000000000007E-2</v>
      </c>
      <c r="I254" s="16">
        <f t="shared" si="142"/>
        <v>55.64</v>
      </c>
      <c r="J254" s="21">
        <v>0</v>
      </c>
      <c r="K254" s="21">
        <v>0</v>
      </c>
      <c r="L254" s="112">
        <f t="shared" si="139"/>
        <v>0</v>
      </c>
      <c r="M254" s="112">
        <f t="shared" si="140"/>
        <v>0</v>
      </c>
      <c r="N254" s="22">
        <f t="shared" ref="N254" si="144">L254+M254</f>
        <v>0</v>
      </c>
      <c r="O254" s="19"/>
    </row>
    <row r="255" spans="1:18" ht="15.75" thickBot="1" x14ac:dyDescent="0.2">
      <c r="A255" s="114" t="str">
        <f>IF(G255&lt;&gt;"",1+MAX($A$6:A254),"")</f>
        <v/>
      </c>
      <c r="B255" s="115"/>
      <c r="C255" s="13"/>
      <c r="D255" s="69"/>
      <c r="E255" s="66"/>
      <c r="F255" s="119"/>
      <c r="G255" s="11"/>
      <c r="H255" s="6"/>
      <c r="I255" s="16"/>
      <c r="J255" s="24"/>
      <c r="K255" s="24"/>
      <c r="L255" s="24"/>
      <c r="M255" s="24"/>
      <c r="N255" s="22"/>
      <c r="O255" s="61"/>
    </row>
    <row r="256" spans="1:18" ht="16.5" thickBot="1" x14ac:dyDescent="0.25">
      <c r="A256" s="114" t="str">
        <f>IF(G256&lt;&gt;"",1+MAX($A$6:A255),"")</f>
        <v/>
      </c>
      <c r="B256" s="117"/>
      <c r="C256" s="12"/>
      <c r="D256" s="70"/>
      <c r="E256" s="71" t="s">
        <v>40</v>
      </c>
      <c r="F256" s="119"/>
      <c r="G256" s="64"/>
      <c r="H256" s="72"/>
      <c r="I256" s="16"/>
      <c r="J256" s="73"/>
      <c r="K256" s="73"/>
      <c r="L256" s="73"/>
      <c r="M256" s="73"/>
      <c r="N256" s="74"/>
      <c r="O256" s="75">
        <f>SUM(N141:N255)</f>
        <v>0</v>
      </c>
      <c r="P256" s="76"/>
    </row>
    <row r="257" spans="1:16" ht="15.75" thickBot="1" x14ac:dyDescent="0.2">
      <c r="A257" s="114" t="str">
        <f>IF(G257&lt;&gt;"",1+MAX($A$6:A256),"")</f>
        <v/>
      </c>
      <c r="B257" s="115"/>
      <c r="C257" s="13"/>
      <c r="D257" s="69"/>
      <c r="E257" s="57"/>
      <c r="F257" s="119"/>
      <c r="G257" s="11"/>
      <c r="H257" s="6"/>
      <c r="I257" s="16"/>
      <c r="J257" s="24"/>
      <c r="K257" s="24"/>
      <c r="L257" s="24"/>
      <c r="M257" s="24"/>
      <c r="N257" s="22"/>
      <c r="O257" s="61"/>
    </row>
    <row r="258" spans="1:16" s="49" customFormat="1" ht="15.75" thickBot="1" x14ac:dyDescent="0.2">
      <c r="A258" s="114" t="str">
        <f>IF(G258&lt;&gt;"",1+MAX($A$6:A257),"")</f>
        <v/>
      </c>
      <c r="B258" s="124"/>
      <c r="C258" s="41"/>
      <c r="D258" s="42" t="s">
        <v>69</v>
      </c>
      <c r="E258" s="43" t="s">
        <v>70</v>
      </c>
      <c r="F258" s="193"/>
      <c r="G258" s="44"/>
      <c r="H258" s="45"/>
      <c r="I258" s="45"/>
      <c r="J258" s="46"/>
      <c r="K258" s="46"/>
      <c r="L258" s="46"/>
      <c r="M258" s="46"/>
      <c r="N258" s="47"/>
      <c r="O258" s="48"/>
      <c r="P258" s="137"/>
    </row>
    <row r="259" spans="1:16" ht="15.75" thickBot="1" x14ac:dyDescent="0.2">
      <c r="A259" s="114" t="str">
        <f>IF(G259&lt;&gt;"",1+MAX($A$6:A258),"")</f>
        <v/>
      </c>
      <c r="B259" s="115"/>
      <c r="C259" s="50"/>
      <c r="D259" s="51"/>
      <c r="E259" s="259" t="s">
        <v>215</v>
      </c>
      <c r="F259" s="260"/>
      <c r="G259" s="261"/>
      <c r="H259" s="52"/>
      <c r="I259" s="53"/>
      <c r="J259" s="54"/>
      <c r="K259" s="54"/>
      <c r="L259" s="54"/>
      <c r="M259" s="54"/>
      <c r="N259" s="55"/>
      <c r="O259" s="19"/>
    </row>
    <row r="260" spans="1:16" ht="15.75" x14ac:dyDescent="0.2">
      <c r="A260" s="114">
        <f>IF(G260&lt;&gt;"",1+MAX($A$6:A259),"")</f>
        <v>160</v>
      </c>
      <c r="B260" s="115" t="s">
        <v>141</v>
      </c>
      <c r="C260" s="13"/>
      <c r="D260" s="65"/>
      <c r="E260" s="229" t="s">
        <v>71</v>
      </c>
      <c r="F260" s="230" t="s">
        <v>12</v>
      </c>
      <c r="G260" s="230">
        <v>73.459999999999994</v>
      </c>
      <c r="H260" s="6">
        <v>7.0000000000000007E-2</v>
      </c>
      <c r="I260" s="16">
        <f t="shared" ref="I260:I261" si="145">G260*(1+H260)</f>
        <v>78.602199999999996</v>
      </c>
      <c r="J260" s="21">
        <v>0</v>
      </c>
      <c r="K260" s="21">
        <v>0</v>
      </c>
      <c r="L260" s="112">
        <f>J260*I260</f>
        <v>0</v>
      </c>
      <c r="M260" s="112">
        <f>K260*I260</f>
        <v>0</v>
      </c>
      <c r="N260" s="22">
        <f t="shared" ref="N260:N262" si="146">L260+M260</f>
        <v>0</v>
      </c>
      <c r="O260" s="61"/>
    </row>
    <row r="261" spans="1:16" ht="15.75" x14ac:dyDescent="0.2">
      <c r="A261" s="114">
        <f>IF(G261&lt;&gt;"",1+MAX($A$6:A260),"")</f>
        <v>161</v>
      </c>
      <c r="B261" s="115" t="s">
        <v>141</v>
      </c>
      <c r="C261" s="13"/>
      <c r="D261" s="65"/>
      <c r="E261" s="138" t="s">
        <v>72</v>
      </c>
      <c r="F261" s="230" t="s">
        <v>94</v>
      </c>
      <c r="G261" s="230">
        <v>58.04</v>
      </c>
      <c r="H261" s="6">
        <v>7.0000000000000007E-2</v>
      </c>
      <c r="I261" s="16">
        <f t="shared" si="145"/>
        <v>62.102800000000002</v>
      </c>
      <c r="J261" s="21">
        <v>0</v>
      </c>
      <c r="K261" s="21">
        <v>0</v>
      </c>
      <c r="L261" s="112">
        <f>J261*I261</f>
        <v>0</v>
      </c>
      <c r="M261" s="112">
        <f>K261*I261</f>
        <v>0</v>
      </c>
      <c r="N261" s="22">
        <f t="shared" si="146"/>
        <v>0</v>
      </c>
      <c r="O261" s="61"/>
    </row>
    <row r="262" spans="1:16" ht="16.5" thickBot="1" x14ac:dyDescent="0.25">
      <c r="A262" s="114">
        <f>IF(G262&lt;&gt;"",1+MAX($A$6:A261),"")</f>
        <v>162</v>
      </c>
      <c r="B262" s="115" t="s">
        <v>141</v>
      </c>
      <c r="C262" s="182"/>
      <c r="D262" s="67"/>
      <c r="E262" s="232" t="s">
        <v>211</v>
      </c>
      <c r="F262" s="231" t="s">
        <v>94</v>
      </c>
      <c r="G262" s="231">
        <v>34.96</v>
      </c>
      <c r="H262" s="6">
        <v>7.0000000000000007E-2</v>
      </c>
      <c r="I262" s="16">
        <f t="shared" ref="I262" si="147">G262*(1+H262)</f>
        <v>37.407200000000003</v>
      </c>
      <c r="J262" s="21">
        <v>0</v>
      </c>
      <c r="K262" s="21">
        <v>0</v>
      </c>
      <c r="L262" s="112">
        <f>J262*I262</f>
        <v>0</v>
      </c>
      <c r="M262" s="112">
        <f>K262*I262</f>
        <v>0</v>
      </c>
      <c r="N262" s="22">
        <f t="shared" si="146"/>
        <v>0</v>
      </c>
      <c r="O262" s="19"/>
    </row>
    <row r="263" spans="1:16" ht="15.75" thickBot="1" x14ac:dyDescent="0.2">
      <c r="A263" s="114" t="str">
        <f>IF(G263&lt;&gt;"",1+MAX($A$6:A262),"")</f>
        <v/>
      </c>
      <c r="B263" s="115"/>
      <c r="C263" s="50"/>
      <c r="D263" s="67"/>
      <c r="E263" s="259" t="s">
        <v>73</v>
      </c>
      <c r="F263" s="260"/>
      <c r="G263" s="261"/>
      <c r="H263" s="52"/>
      <c r="I263" s="53"/>
      <c r="J263" s="54"/>
      <c r="K263" s="54"/>
      <c r="L263" s="54"/>
      <c r="M263" s="54"/>
      <c r="N263" s="55"/>
      <c r="O263" s="19"/>
    </row>
    <row r="264" spans="1:16" ht="15.75" x14ac:dyDescent="0.2">
      <c r="A264" s="114">
        <f>IF(G264&lt;&gt;"",1+MAX($A$6:A263),"")</f>
        <v>163</v>
      </c>
      <c r="B264" s="115" t="s">
        <v>141</v>
      </c>
      <c r="C264" s="141"/>
      <c r="D264" s="68"/>
      <c r="E264" s="232" t="s">
        <v>212</v>
      </c>
      <c r="F264" s="231" t="s">
        <v>94</v>
      </c>
      <c r="G264" s="231">
        <v>100.33</v>
      </c>
      <c r="H264" s="6">
        <v>7.0000000000000007E-2</v>
      </c>
      <c r="I264" s="16">
        <f t="shared" ref="I264" si="148">G264*(1+H264)</f>
        <v>107.3531</v>
      </c>
      <c r="J264" s="21">
        <v>0</v>
      </c>
      <c r="K264" s="21">
        <v>0</v>
      </c>
      <c r="L264" s="112">
        <f>J264*I264</f>
        <v>0</v>
      </c>
      <c r="M264" s="112">
        <f>K264*I264</f>
        <v>0</v>
      </c>
      <c r="N264" s="22">
        <f>L264+M264</f>
        <v>0</v>
      </c>
      <c r="O264" s="19"/>
    </row>
    <row r="265" spans="1:16" ht="15.75" x14ac:dyDescent="0.2">
      <c r="A265" s="114">
        <f>IF(G265&lt;&gt;"",1+MAX($A$6:A264),"")</f>
        <v>164</v>
      </c>
      <c r="B265" s="115" t="s">
        <v>141</v>
      </c>
      <c r="C265" s="182"/>
      <c r="D265" s="68"/>
      <c r="E265" s="232" t="s">
        <v>213</v>
      </c>
      <c r="F265" s="231" t="s">
        <v>33</v>
      </c>
      <c r="G265" s="231">
        <v>8</v>
      </c>
      <c r="H265" s="6">
        <v>7.0000000000000007E-2</v>
      </c>
      <c r="I265" s="16">
        <f t="shared" ref="I265" si="149">G265*(1+H265)</f>
        <v>8.56</v>
      </c>
      <c r="J265" s="21">
        <v>0</v>
      </c>
      <c r="K265" s="21">
        <v>0</v>
      </c>
      <c r="L265" s="112">
        <f>J265*I265</f>
        <v>0</v>
      </c>
      <c r="M265" s="112">
        <f>K265*I265</f>
        <v>0</v>
      </c>
      <c r="N265" s="22">
        <f>L265+M265</f>
        <v>0</v>
      </c>
      <c r="O265" s="19"/>
    </row>
    <row r="266" spans="1:16" ht="15.75" x14ac:dyDescent="0.2">
      <c r="A266" s="114">
        <f>IF(G266&lt;&gt;"",1+MAX($A$6:A265),"")</f>
        <v>165</v>
      </c>
      <c r="B266" s="115" t="s">
        <v>141</v>
      </c>
      <c r="C266" s="182"/>
      <c r="D266" s="68"/>
      <c r="E266" s="232" t="s">
        <v>214</v>
      </c>
      <c r="F266" s="231" t="s">
        <v>33</v>
      </c>
      <c r="G266" s="231">
        <v>12</v>
      </c>
      <c r="H266" s="6">
        <v>7.0000000000000007E-2</v>
      </c>
      <c r="I266" s="16">
        <f t="shared" ref="I266" si="150">G266*(1+H266)</f>
        <v>12.84</v>
      </c>
      <c r="J266" s="21">
        <v>0</v>
      </c>
      <c r="K266" s="21">
        <v>0</v>
      </c>
      <c r="L266" s="112">
        <f>J266*I266</f>
        <v>0</v>
      </c>
      <c r="M266" s="112">
        <f>K266*I266</f>
        <v>0</v>
      </c>
      <c r="N266" s="22">
        <f>L266+M266</f>
        <v>0</v>
      </c>
      <c r="O266" s="19"/>
    </row>
    <row r="267" spans="1:16" ht="15.75" x14ac:dyDescent="0.2">
      <c r="A267" s="114">
        <f>IF(G267&lt;&gt;"",1+MAX($A$6:A266),"")</f>
        <v>166</v>
      </c>
      <c r="B267" s="115" t="s">
        <v>141</v>
      </c>
      <c r="C267" s="141"/>
      <c r="D267" s="68"/>
      <c r="E267" s="232" t="s">
        <v>75</v>
      </c>
      <c r="F267" s="231" t="s">
        <v>33</v>
      </c>
      <c r="G267" s="231">
        <v>12</v>
      </c>
      <c r="H267" s="6">
        <v>7.0000000000000007E-2</v>
      </c>
      <c r="I267" s="16">
        <f t="shared" ref="I267" si="151">G267*(1+H267)</f>
        <v>12.84</v>
      </c>
      <c r="J267" s="21">
        <v>0</v>
      </c>
      <c r="K267" s="21">
        <v>0</v>
      </c>
      <c r="L267" s="112">
        <f>J267*I267</f>
        <v>0</v>
      </c>
      <c r="M267" s="112">
        <f>K267*I267</f>
        <v>0</v>
      </c>
      <c r="N267" s="22">
        <f>L267+M267</f>
        <v>0</v>
      </c>
      <c r="O267" s="19"/>
    </row>
    <row r="268" spans="1:16" ht="15.75" x14ac:dyDescent="0.2">
      <c r="A268" s="114">
        <f>IF(G268&lt;&gt;"",1+MAX($A$6:A267),"")</f>
        <v>167</v>
      </c>
      <c r="B268" s="115" t="s">
        <v>141</v>
      </c>
      <c r="C268" s="141"/>
      <c r="D268" s="68"/>
      <c r="E268" s="232" t="s">
        <v>74</v>
      </c>
      <c r="F268" s="231" t="s">
        <v>33</v>
      </c>
      <c r="G268" s="231">
        <v>12</v>
      </c>
      <c r="H268" s="6">
        <v>7.0000000000000007E-2</v>
      </c>
      <c r="I268" s="16">
        <f t="shared" ref="I268" si="152">G268*(1+H268)</f>
        <v>12.84</v>
      </c>
      <c r="J268" s="21">
        <v>0</v>
      </c>
      <c r="K268" s="21">
        <v>0</v>
      </c>
      <c r="L268" s="112">
        <f>J268*I268</f>
        <v>0</v>
      </c>
      <c r="M268" s="112">
        <f>K268*I268</f>
        <v>0</v>
      </c>
      <c r="N268" s="22">
        <f>L268+M268</f>
        <v>0</v>
      </c>
      <c r="O268" s="19"/>
    </row>
    <row r="269" spans="1:16" ht="15.75" thickBot="1" x14ac:dyDescent="0.2">
      <c r="A269" s="114" t="str">
        <f>IF(G269&lt;&gt;"",1+MAX($A$6:A268),"")</f>
        <v/>
      </c>
      <c r="B269" s="115"/>
      <c r="C269" s="13"/>
      <c r="D269" s="69"/>
      <c r="E269" s="66"/>
      <c r="F269" s="119"/>
      <c r="G269" s="11"/>
      <c r="H269" s="6"/>
      <c r="I269" s="16"/>
      <c r="J269" s="24"/>
      <c r="K269" s="24"/>
      <c r="L269" s="24"/>
      <c r="M269" s="24"/>
      <c r="N269" s="22"/>
      <c r="O269" s="61"/>
    </row>
    <row r="270" spans="1:16" ht="16.5" thickBot="1" x14ac:dyDescent="0.25">
      <c r="A270" s="114" t="str">
        <f>IF(G270&lt;&gt;"",1+MAX($A$6:A269),"")</f>
        <v/>
      </c>
      <c r="B270" s="117"/>
      <c r="C270" s="12"/>
      <c r="D270" s="70"/>
      <c r="E270" s="71" t="s">
        <v>40</v>
      </c>
      <c r="F270" s="119"/>
      <c r="G270" s="64"/>
      <c r="H270" s="72"/>
      <c r="I270" s="16"/>
      <c r="J270" s="73"/>
      <c r="K270" s="73"/>
      <c r="L270" s="73"/>
      <c r="M270" s="73"/>
      <c r="N270" s="74"/>
      <c r="O270" s="75">
        <f>SUM(N260:N269)</f>
        <v>0</v>
      </c>
      <c r="P270" s="76"/>
    </row>
    <row r="271" spans="1:16" ht="15.75" thickBot="1" x14ac:dyDescent="0.2">
      <c r="A271" s="114" t="str">
        <f>IF(G271&lt;&gt;"",1+MAX($A$6:A270),"")</f>
        <v/>
      </c>
      <c r="B271" s="115"/>
      <c r="C271" s="13"/>
      <c r="D271" s="69"/>
      <c r="E271" s="57"/>
      <c r="F271" s="119"/>
      <c r="G271" s="11"/>
      <c r="H271" s="6"/>
      <c r="I271" s="16"/>
      <c r="J271" s="24"/>
      <c r="K271" s="24"/>
      <c r="L271" s="24"/>
      <c r="M271" s="24"/>
      <c r="N271" s="22"/>
      <c r="O271" s="61"/>
    </row>
    <row r="272" spans="1:16" s="49" customFormat="1" ht="15.75" thickBot="1" x14ac:dyDescent="0.2">
      <c r="A272" s="114" t="str">
        <f>IF(G272&lt;&gt;"",1+MAX($A$6:A271),"")</f>
        <v/>
      </c>
      <c r="B272" s="124"/>
      <c r="C272" s="41"/>
      <c r="D272" s="42" t="s">
        <v>76</v>
      </c>
      <c r="E272" s="43" t="s">
        <v>77</v>
      </c>
      <c r="F272" s="193"/>
      <c r="G272" s="44"/>
      <c r="H272" s="45"/>
      <c r="I272" s="45"/>
      <c r="J272" s="46"/>
      <c r="K272" s="46"/>
      <c r="L272" s="46"/>
      <c r="M272" s="46"/>
      <c r="N272" s="47"/>
      <c r="O272" s="48"/>
      <c r="P272" s="137"/>
    </row>
    <row r="273" spans="1:18" ht="15.75" thickBot="1" x14ac:dyDescent="0.2">
      <c r="A273" s="114" t="str">
        <f>IF(G273&lt;&gt;"",1+MAX($A$6:A272),"")</f>
        <v/>
      </c>
      <c r="B273" s="115"/>
      <c r="C273" s="50"/>
      <c r="D273" s="51"/>
      <c r="E273" s="259" t="s">
        <v>78</v>
      </c>
      <c r="F273" s="260"/>
      <c r="G273" s="261"/>
      <c r="H273" s="52"/>
      <c r="I273" s="53"/>
      <c r="J273" s="54"/>
      <c r="K273" s="54"/>
      <c r="L273" s="54"/>
      <c r="M273" s="54"/>
      <c r="N273" s="55"/>
      <c r="O273" s="19"/>
    </row>
    <row r="274" spans="1:18" ht="15.75" x14ac:dyDescent="0.2">
      <c r="A274" s="114">
        <f>IF(G274&lt;&gt;"",1+MAX($A$6:A273),"")</f>
        <v>168</v>
      </c>
      <c r="B274" s="115" t="s">
        <v>141</v>
      </c>
      <c r="C274" s="13"/>
      <c r="D274" s="65"/>
      <c r="E274" s="233" t="s">
        <v>79</v>
      </c>
      <c r="F274" s="205" t="s">
        <v>33</v>
      </c>
      <c r="G274" s="205">
        <v>14</v>
      </c>
      <c r="H274" s="6">
        <v>7.0000000000000007E-2</v>
      </c>
      <c r="I274" s="16">
        <f t="shared" ref="I274:I278" si="153">G274*(1+H274)</f>
        <v>14.98</v>
      </c>
      <c r="J274" s="21">
        <v>0</v>
      </c>
      <c r="K274" s="21">
        <v>0</v>
      </c>
      <c r="L274" s="112">
        <f>J274*I274</f>
        <v>0</v>
      </c>
      <c r="M274" s="112">
        <f>K274*I274</f>
        <v>0</v>
      </c>
      <c r="N274" s="22">
        <f t="shared" ref="N274:N276" si="154">L274+M274</f>
        <v>0</v>
      </c>
      <c r="O274" s="61"/>
    </row>
    <row r="275" spans="1:18" ht="15.75" x14ac:dyDescent="0.2">
      <c r="A275" s="114">
        <f>IF(G275&lt;&gt;"",1+MAX($A$6:A274),"")</f>
        <v>169</v>
      </c>
      <c r="B275" s="115" t="s">
        <v>141</v>
      </c>
      <c r="C275" s="13"/>
      <c r="D275" s="65"/>
      <c r="E275" s="235" t="s">
        <v>80</v>
      </c>
      <c r="F275" s="234" t="s">
        <v>33</v>
      </c>
      <c r="G275" s="234">
        <v>14</v>
      </c>
      <c r="H275" s="6">
        <v>7.0000000000000007E-2</v>
      </c>
      <c r="I275" s="16">
        <f t="shared" si="153"/>
        <v>14.98</v>
      </c>
      <c r="J275" s="21">
        <v>0</v>
      </c>
      <c r="K275" s="21">
        <v>0</v>
      </c>
      <c r="L275" s="112">
        <f>J275*I275</f>
        <v>0</v>
      </c>
      <c r="M275" s="112">
        <f>K275*I275</f>
        <v>0</v>
      </c>
      <c r="N275" s="22">
        <f t="shared" si="154"/>
        <v>0</v>
      </c>
      <c r="O275" s="61"/>
    </row>
    <row r="276" spans="1:18" ht="18" customHeight="1" x14ac:dyDescent="0.2">
      <c r="A276" s="114">
        <f>IF(G276&lt;&gt;"",1+MAX($A$6:A275),"")</f>
        <v>170</v>
      </c>
      <c r="B276" s="115" t="s">
        <v>141</v>
      </c>
      <c r="C276" s="13"/>
      <c r="D276" s="12"/>
      <c r="E276" s="235" t="s">
        <v>103</v>
      </c>
      <c r="F276" s="234" t="s">
        <v>33</v>
      </c>
      <c r="G276" s="234">
        <v>4</v>
      </c>
      <c r="H276" s="6">
        <v>7.0000000000000007E-2</v>
      </c>
      <c r="I276" s="16">
        <f t="shared" si="153"/>
        <v>4.28</v>
      </c>
      <c r="J276" s="21">
        <v>0</v>
      </c>
      <c r="K276" s="21">
        <v>0</v>
      </c>
      <c r="L276" s="112">
        <f>J276*I276</f>
        <v>0</v>
      </c>
      <c r="M276" s="112">
        <f>K276*I276</f>
        <v>0</v>
      </c>
      <c r="N276" s="22">
        <f t="shared" si="154"/>
        <v>0</v>
      </c>
      <c r="O276" s="19"/>
    </row>
    <row r="277" spans="1:18" ht="18" customHeight="1" x14ac:dyDescent="0.2">
      <c r="A277" s="114">
        <f>IF(G277&lt;&gt;"",1+MAX($A$6:A276),"")</f>
        <v>171</v>
      </c>
      <c r="B277" s="115" t="s">
        <v>286</v>
      </c>
      <c r="C277" s="13"/>
      <c r="D277" s="12"/>
      <c r="E277" s="238" t="s">
        <v>316</v>
      </c>
      <c r="F277" s="237" t="s">
        <v>33</v>
      </c>
      <c r="G277" s="237">
        <v>2</v>
      </c>
      <c r="H277" s="6">
        <v>7.0000000000000007E-2</v>
      </c>
      <c r="I277" s="16">
        <f t="shared" ref="I277" si="155">G277*(1+H277)</f>
        <v>2.14</v>
      </c>
      <c r="J277" s="21">
        <v>0</v>
      </c>
      <c r="K277" s="21">
        <v>0</v>
      </c>
      <c r="L277" s="112">
        <f>J277*I277</f>
        <v>0</v>
      </c>
      <c r="M277" s="112">
        <f>K277*I277</f>
        <v>0</v>
      </c>
      <c r="N277" s="22">
        <f t="shared" ref="N277" si="156">L277+M277</f>
        <v>0</v>
      </c>
      <c r="O277" s="19"/>
    </row>
    <row r="278" spans="1:18" ht="15.75" x14ac:dyDescent="0.2">
      <c r="A278" s="114">
        <f>IF(G278&lt;&gt;"",1+MAX($A$6:A277),"")</f>
        <v>172</v>
      </c>
      <c r="B278" s="115" t="s">
        <v>141</v>
      </c>
      <c r="C278" s="116"/>
      <c r="D278" s="67"/>
      <c r="E278" s="66" t="s">
        <v>81</v>
      </c>
      <c r="F278" s="119" t="s">
        <v>82</v>
      </c>
      <c r="G278" s="136">
        <v>1</v>
      </c>
      <c r="H278" s="6">
        <v>7.0000000000000007E-2</v>
      </c>
      <c r="I278" s="16">
        <f t="shared" si="153"/>
        <v>1.07</v>
      </c>
      <c r="J278" s="21">
        <v>0</v>
      </c>
      <c r="K278" s="21">
        <v>0</v>
      </c>
      <c r="L278" s="112">
        <f>J278*I278</f>
        <v>0</v>
      </c>
      <c r="M278" s="112">
        <f>K278*I278</f>
        <v>0</v>
      </c>
      <c r="N278" s="22">
        <f t="shared" ref="N278" si="157">L278+M278</f>
        <v>0</v>
      </c>
      <c r="O278" s="19"/>
    </row>
    <row r="279" spans="1:18" ht="15.75" thickBot="1" x14ac:dyDescent="0.2">
      <c r="A279" s="114" t="str">
        <f>IF(G279&lt;&gt;"",1+MAX($A$6:A278),"")</f>
        <v/>
      </c>
      <c r="B279" s="115"/>
      <c r="C279" s="13"/>
      <c r="D279" s="69"/>
      <c r="E279" s="66"/>
      <c r="F279" s="119"/>
      <c r="G279" s="11"/>
      <c r="H279" s="6"/>
      <c r="I279" s="16"/>
      <c r="J279" s="24"/>
      <c r="K279" s="24"/>
      <c r="L279" s="24"/>
      <c r="M279" s="24"/>
      <c r="N279" s="22"/>
      <c r="O279" s="61"/>
    </row>
    <row r="280" spans="1:18" ht="16.5" thickBot="1" x14ac:dyDescent="0.25">
      <c r="A280" s="114" t="str">
        <f>IF(G280&lt;&gt;"",1+MAX($A$6:A279),"")</f>
        <v/>
      </c>
      <c r="B280" s="117"/>
      <c r="C280" s="12"/>
      <c r="D280" s="70"/>
      <c r="E280" s="71" t="s">
        <v>40</v>
      </c>
      <c r="F280" s="119"/>
      <c r="G280" s="64"/>
      <c r="H280" s="72"/>
      <c r="I280" s="16"/>
      <c r="J280" s="73"/>
      <c r="K280" s="73"/>
      <c r="L280" s="73"/>
      <c r="M280" s="73"/>
      <c r="N280" s="74"/>
      <c r="O280" s="75">
        <f>SUM(N274:N279)</f>
        <v>0</v>
      </c>
      <c r="P280" s="76"/>
    </row>
    <row r="281" spans="1:18" ht="15.75" thickBot="1" x14ac:dyDescent="0.2">
      <c r="A281" s="114" t="str">
        <f>IF(G281&lt;&gt;"",1+MAX($A$6:A280),"")</f>
        <v/>
      </c>
      <c r="B281" s="115"/>
      <c r="C281" s="13"/>
      <c r="D281" s="69"/>
      <c r="E281" s="57"/>
      <c r="F281" s="119"/>
      <c r="G281" s="11"/>
      <c r="H281" s="6"/>
      <c r="I281" s="16"/>
      <c r="J281" s="24"/>
      <c r="K281" s="24"/>
      <c r="L281" s="24"/>
      <c r="M281" s="24"/>
      <c r="N281" s="22"/>
      <c r="O281" s="61"/>
    </row>
    <row r="282" spans="1:18" s="49" customFormat="1" ht="15.75" thickBot="1" x14ac:dyDescent="0.2">
      <c r="A282" s="114" t="str">
        <f>IF(G282&lt;&gt;"",1+MAX($A$6:A281),"")</f>
        <v/>
      </c>
      <c r="B282" s="124"/>
      <c r="C282" s="41"/>
      <c r="D282" s="42" t="s">
        <v>83</v>
      </c>
      <c r="E282" s="43" t="s">
        <v>104</v>
      </c>
      <c r="F282" s="193"/>
      <c r="G282" s="44"/>
      <c r="H282" s="45"/>
      <c r="I282" s="45"/>
      <c r="J282" s="46"/>
      <c r="K282" s="46"/>
      <c r="L282" s="46"/>
      <c r="M282" s="46"/>
      <c r="N282" s="47"/>
      <c r="O282" s="48"/>
      <c r="P282" s="137"/>
    </row>
    <row r="283" spans="1:18" s="121" customFormat="1" ht="15.75" x14ac:dyDescent="0.2">
      <c r="A283" s="114">
        <f>IF(G283&lt;&gt;"",1+MAX($A$6:A282),"")</f>
        <v>173</v>
      </c>
      <c r="B283" s="115"/>
      <c r="C283" s="116"/>
      <c r="D283" s="132"/>
      <c r="E283" s="135" t="s">
        <v>105</v>
      </c>
      <c r="F283" s="119" t="s">
        <v>82</v>
      </c>
      <c r="G283" s="136">
        <v>1</v>
      </c>
      <c r="H283" s="133">
        <v>7.0000000000000007E-2</v>
      </c>
      <c r="I283" s="118">
        <f t="shared" ref="I283" si="158">G283*(1+H283)</f>
        <v>1.07</v>
      </c>
      <c r="J283" s="21">
        <v>0</v>
      </c>
      <c r="K283" s="21">
        <v>0</v>
      </c>
      <c r="L283" s="112">
        <f>J283*I283</f>
        <v>0</v>
      </c>
      <c r="M283" s="112">
        <f>K283*I283</f>
        <v>0</v>
      </c>
      <c r="N283" s="22">
        <f>L283+M283</f>
        <v>0</v>
      </c>
      <c r="O283" s="120"/>
      <c r="P283" s="134"/>
      <c r="Q283" s="134"/>
      <c r="R283" s="134"/>
    </row>
    <row r="284" spans="1:18" ht="15.75" thickBot="1" x14ac:dyDescent="0.2">
      <c r="A284" s="114" t="str">
        <f>IF(G284&lt;&gt;"",1+MAX($A$6:A283),"")</f>
        <v/>
      </c>
      <c r="B284" s="115"/>
      <c r="C284" s="13"/>
      <c r="D284" s="69"/>
      <c r="E284" s="66"/>
      <c r="F284" s="119"/>
      <c r="G284" s="11"/>
      <c r="H284" s="6"/>
      <c r="I284" s="16"/>
      <c r="J284" s="24"/>
      <c r="K284" s="24"/>
      <c r="L284" s="24"/>
      <c r="M284" s="24"/>
      <c r="N284" s="22"/>
      <c r="O284" s="61"/>
    </row>
    <row r="285" spans="1:18" ht="16.5" thickBot="1" x14ac:dyDescent="0.25">
      <c r="A285" s="114" t="str">
        <f>IF(G285&lt;&gt;"",1+MAX($A$6:A284),"")</f>
        <v/>
      </c>
      <c r="B285" s="117"/>
      <c r="C285" s="12"/>
      <c r="D285" s="70"/>
      <c r="E285" s="71" t="s">
        <v>40</v>
      </c>
      <c r="F285" s="119"/>
      <c r="G285" s="64"/>
      <c r="H285" s="72"/>
      <c r="I285" s="16"/>
      <c r="J285" s="73"/>
      <c r="K285" s="73"/>
      <c r="L285" s="73"/>
      <c r="M285" s="73"/>
      <c r="N285" s="74"/>
      <c r="O285" s="75">
        <f>SUM(N283:N283)</f>
        <v>0</v>
      </c>
      <c r="P285" s="76"/>
    </row>
    <row r="286" spans="1:18" ht="15.75" thickBot="1" x14ac:dyDescent="0.2">
      <c r="A286" s="114" t="str">
        <f>IF(G286&lt;&gt;"",1+MAX($A$6:A285),"")</f>
        <v/>
      </c>
      <c r="B286" s="115"/>
      <c r="C286" s="13"/>
      <c r="D286" s="69"/>
      <c r="E286" s="57"/>
      <c r="F286" s="119"/>
      <c r="G286" s="11"/>
      <c r="H286" s="6"/>
      <c r="I286" s="16"/>
      <c r="J286" s="24"/>
      <c r="K286" s="24"/>
      <c r="L286" s="24"/>
      <c r="M286" s="24"/>
      <c r="N286" s="22"/>
      <c r="O286" s="61"/>
    </row>
    <row r="287" spans="1:18" s="49" customFormat="1" ht="15.75" thickBot="1" x14ac:dyDescent="0.2">
      <c r="A287" s="114" t="str">
        <f>IF(G287&lt;&gt;"",1+MAX($A$6:A286),"")</f>
        <v/>
      </c>
      <c r="B287" s="124"/>
      <c r="C287" s="41"/>
      <c r="D287" s="42" t="s">
        <v>84</v>
      </c>
      <c r="E287" s="43" t="s">
        <v>85</v>
      </c>
      <c r="F287" s="193"/>
      <c r="G287" s="44"/>
      <c r="H287" s="45"/>
      <c r="I287" s="45"/>
      <c r="J287" s="46"/>
      <c r="K287" s="46"/>
      <c r="L287" s="46"/>
      <c r="M287" s="46"/>
      <c r="N287" s="47"/>
      <c r="O287" s="48"/>
      <c r="P287" s="137"/>
    </row>
    <row r="288" spans="1:18" s="121" customFormat="1" ht="15.75" x14ac:dyDescent="0.2">
      <c r="A288" s="114">
        <f>IF(G288&lt;&gt;"",1+MAX($A$6:A287),"")</f>
        <v>174</v>
      </c>
      <c r="B288" s="115"/>
      <c r="C288" s="116"/>
      <c r="D288" s="132"/>
      <c r="E288" s="135" t="s">
        <v>106</v>
      </c>
      <c r="F288" s="119" t="s">
        <v>82</v>
      </c>
      <c r="G288" s="136">
        <v>1</v>
      </c>
      <c r="H288" s="133">
        <v>7.0000000000000007E-2</v>
      </c>
      <c r="I288" s="118">
        <f t="shared" ref="I288" si="159">G288*(1+H288)</f>
        <v>1.07</v>
      </c>
      <c r="J288" s="21">
        <v>0</v>
      </c>
      <c r="K288" s="21">
        <v>0</v>
      </c>
      <c r="L288" s="112">
        <f>J288*I288</f>
        <v>0</v>
      </c>
      <c r="M288" s="112">
        <f>K288*I288</f>
        <v>0</v>
      </c>
      <c r="N288" s="22">
        <f>L288+M288</f>
        <v>0</v>
      </c>
      <c r="O288" s="120"/>
      <c r="P288" s="134"/>
      <c r="Q288" s="134"/>
      <c r="R288" s="134"/>
    </row>
    <row r="289" spans="1:18" ht="15.75" thickBot="1" x14ac:dyDescent="0.2">
      <c r="A289" s="114" t="str">
        <f>IF(G289&lt;&gt;"",1+MAX($A$6:A288),"")</f>
        <v/>
      </c>
      <c r="B289" s="115"/>
      <c r="C289" s="13"/>
      <c r="D289" s="69"/>
      <c r="E289" s="66"/>
      <c r="F289" s="119"/>
      <c r="G289" s="11"/>
      <c r="H289" s="6"/>
      <c r="I289" s="16"/>
      <c r="J289" s="24"/>
      <c r="K289" s="24"/>
      <c r="L289" s="24"/>
      <c r="M289" s="24"/>
      <c r="N289" s="22"/>
      <c r="O289" s="61"/>
    </row>
    <row r="290" spans="1:18" ht="16.5" thickBot="1" x14ac:dyDescent="0.25">
      <c r="A290" s="114" t="str">
        <f>IF(G290&lt;&gt;"",1+MAX($A$6:A289),"")</f>
        <v/>
      </c>
      <c r="B290" s="117"/>
      <c r="C290" s="12"/>
      <c r="D290" s="70"/>
      <c r="E290" s="71" t="s">
        <v>40</v>
      </c>
      <c r="F290" s="119"/>
      <c r="G290" s="64"/>
      <c r="H290" s="72"/>
      <c r="I290" s="16"/>
      <c r="J290" s="73"/>
      <c r="K290" s="73"/>
      <c r="L290" s="73"/>
      <c r="M290" s="73"/>
      <c r="N290" s="74"/>
      <c r="O290" s="75">
        <f>SUM(N288:N288)</f>
        <v>0</v>
      </c>
      <c r="P290" s="76"/>
    </row>
    <row r="291" spans="1:18" ht="15.75" thickBot="1" x14ac:dyDescent="0.2">
      <c r="A291" s="114" t="str">
        <f>IF(G291&lt;&gt;"",1+MAX($A$6:A290),"")</f>
        <v/>
      </c>
      <c r="B291" s="115"/>
      <c r="C291" s="13"/>
      <c r="D291" s="69"/>
      <c r="E291" s="57"/>
      <c r="F291" s="119"/>
      <c r="G291" s="11"/>
      <c r="H291" s="6"/>
      <c r="I291" s="16"/>
      <c r="J291" s="24"/>
      <c r="K291" s="24"/>
      <c r="L291" s="24"/>
      <c r="M291" s="24"/>
      <c r="N291" s="22"/>
      <c r="O291" s="61"/>
    </row>
    <row r="292" spans="1:18" s="49" customFormat="1" ht="15.75" thickBot="1" x14ac:dyDescent="0.2">
      <c r="A292" s="114" t="str">
        <f>IF(G292&lt;&gt;"",1+MAX($A$6:A291),"")</f>
        <v/>
      </c>
      <c r="B292" s="124"/>
      <c r="C292" s="41"/>
      <c r="D292" s="42" t="s">
        <v>90</v>
      </c>
      <c r="E292" s="43" t="s">
        <v>91</v>
      </c>
      <c r="F292" s="193"/>
      <c r="G292" s="44"/>
      <c r="H292" s="45"/>
      <c r="I292" s="45"/>
      <c r="J292" s="46"/>
      <c r="K292" s="46"/>
      <c r="L292" s="46"/>
      <c r="M292" s="46"/>
      <c r="N292" s="47"/>
      <c r="O292" s="48"/>
      <c r="P292" s="137"/>
    </row>
    <row r="293" spans="1:18" ht="15.75" thickBot="1" x14ac:dyDescent="0.2">
      <c r="A293" s="114" t="str">
        <f>IF(G293&lt;&gt;"",1+MAX($A$6:A292),"")</f>
        <v/>
      </c>
      <c r="B293" s="115"/>
      <c r="C293" s="50"/>
      <c r="D293" s="51"/>
      <c r="E293" s="259" t="s">
        <v>274</v>
      </c>
      <c r="F293" s="260"/>
      <c r="G293" s="261"/>
      <c r="H293" s="52"/>
      <c r="I293" s="53"/>
      <c r="J293" s="54"/>
      <c r="K293" s="54"/>
      <c r="L293" s="54"/>
      <c r="M293" s="54"/>
      <c r="N293" s="55"/>
      <c r="O293" s="19"/>
    </row>
    <row r="294" spans="1:18" ht="15.75" x14ac:dyDescent="0.2">
      <c r="A294" s="114">
        <f>IF(G294&lt;&gt;"",1+MAX($A$6:A293),"")</f>
        <v>175</v>
      </c>
      <c r="B294" s="115" t="s">
        <v>281</v>
      </c>
      <c r="C294" s="13"/>
      <c r="D294" s="65"/>
      <c r="E294" s="238" t="s">
        <v>216</v>
      </c>
      <c r="F294" s="237" t="s">
        <v>12</v>
      </c>
      <c r="G294" s="237">
        <v>61401.85</v>
      </c>
      <c r="H294" s="6">
        <v>7.0000000000000007E-2</v>
      </c>
      <c r="I294" s="16">
        <f t="shared" ref="I294:I300" si="160">G294*(1+H294)</f>
        <v>65699.979500000001</v>
      </c>
      <c r="J294" s="21">
        <v>0</v>
      </c>
      <c r="K294" s="21">
        <v>0</v>
      </c>
      <c r="L294" s="112">
        <f t="shared" ref="L294:L300" si="161">J294*I294</f>
        <v>0</v>
      </c>
      <c r="M294" s="112">
        <f t="shared" ref="M294:M300" si="162">K294*I294</f>
        <v>0</v>
      </c>
      <c r="N294" s="22">
        <f t="shared" ref="N294:N296" si="163">L294+M294</f>
        <v>0</v>
      </c>
      <c r="O294" s="61"/>
    </row>
    <row r="295" spans="1:18" ht="15.75" x14ac:dyDescent="0.2">
      <c r="A295" s="114">
        <f>IF(G295&lt;&gt;"",1+MAX($A$6:A294),"")</f>
        <v>176</v>
      </c>
      <c r="B295" s="115" t="s">
        <v>281</v>
      </c>
      <c r="C295" s="13"/>
      <c r="D295" s="65"/>
      <c r="E295" s="238" t="s">
        <v>217</v>
      </c>
      <c r="F295" s="237" t="s">
        <v>94</v>
      </c>
      <c r="G295" s="237">
        <v>216.06</v>
      </c>
      <c r="H295" s="6">
        <v>7.0000000000000007E-2</v>
      </c>
      <c r="I295" s="16">
        <f t="shared" si="160"/>
        <v>231.1842</v>
      </c>
      <c r="J295" s="21">
        <v>0</v>
      </c>
      <c r="K295" s="21">
        <v>0</v>
      </c>
      <c r="L295" s="112">
        <f t="shared" si="161"/>
        <v>0</v>
      </c>
      <c r="M295" s="112">
        <f t="shared" si="162"/>
        <v>0</v>
      </c>
      <c r="N295" s="22">
        <f t="shared" si="163"/>
        <v>0</v>
      </c>
      <c r="O295" s="61"/>
    </row>
    <row r="296" spans="1:18" ht="15.75" x14ac:dyDescent="0.2">
      <c r="A296" s="114">
        <f>IF(G296&lt;&gt;"",1+MAX($A$6:A295),"")</f>
        <v>177</v>
      </c>
      <c r="B296" s="115" t="s">
        <v>281</v>
      </c>
      <c r="C296" s="13"/>
      <c r="D296" s="12"/>
      <c r="E296" s="238" t="s">
        <v>218</v>
      </c>
      <c r="F296" s="237" t="s">
        <v>12</v>
      </c>
      <c r="G296" s="237">
        <v>20814.830000000002</v>
      </c>
      <c r="H296" s="6">
        <v>7.0000000000000007E-2</v>
      </c>
      <c r="I296" s="16">
        <f t="shared" si="160"/>
        <v>22271.868100000003</v>
      </c>
      <c r="J296" s="21">
        <v>0</v>
      </c>
      <c r="K296" s="21">
        <v>0</v>
      </c>
      <c r="L296" s="112">
        <f t="shared" si="161"/>
        <v>0</v>
      </c>
      <c r="M296" s="112">
        <f t="shared" si="162"/>
        <v>0</v>
      </c>
      <c r="N296" s="22">
        <f t="shared" si="163"/>
        <v>0</v>
      </c>
      <c r="O296" s="19"/>
    </row>
    <row r="297" spans="1:18" s="121" customFormat="1" ht="15.75" x14ac:dyDescent="0.2">
      <c r="A297" s="114">
        <f>IF(G297&lt;&gt;"",1+MAX($A$6:A296),"")</f>
        <v>178</v>
      </c>
      <c r="B297" s="115" t="s">
        <v>281</v>
      </c>
      <c r="C297" s="116"/>
      <c r="D297" s="132"/>
      <c r="E297" s="238" t="s">
        <v>219</v>
      </c>
      <c r="F297" s="237" t="s">
        <v>12</v>
      </c>
      <c r="G297" s="237">
        <v>4893.96</v>
      </c>
      <c r="H297" s="133">
        <v>7.0000000000000007E-2</v>
      </c>
      <c r="I297" s="118">
        <f t="shared" si="160"/>
        <v>5236.5372000000007</v>
      </c>
      <c r="J297" s="21">
        <v>0</v>
      </c>
      <c r="K297" s="21">
        <v>0</v>
      </c>
      <c r="L297" s="112">
        <f t="shared" si="161"/>
        <v>0</v>
      </c>
      <c r="M297" s="112">
        <f t="shared" si="162"/>
        <v>0</v>
      </c>
      <c r="N297" s="22">
        <f>L297+M297</f>
        <v>0</v>
      </c>
      <c r="O297" s="120"/>
      <c r="P297" s="134"/>
      <c r="Q297" s="134"/>
      <c r="R297" s="134"/>
    </row>
    <row r="298" spans="1:18" ht="15.75" x14ac:dyDescent="0.2">
      <c r="A298" s="114">
        <f>IF(G298&lt;&gt;"",1+MAX($A$6:A297),"")</f>
        <v>179</v>
      </c>
      <c r="B298" s="115" t="s">
        <v>281</v>
      </c>
      <c r="C298" s="13"/>
      <c r="D298" s="65"/>
      <c r="E298" s="238" t="s">
        <v>220</v>
      </c>
      <c r="F298" s="237" t="s">
        <v>94</v>
      </c>
      <c r="G298" s="237">
        <v>33.69</v>
      </c>
      <c r="H298" s="6">
        <v>7.0000000000000007E-2</v>
      </c>
      <c r="I298" s="16">
        <f t="shared" si="160"/>
        <v>36.048299999999998</v>
      </c>
      <c r="J298" s="21">
        <v>0</v>
      </c>
      <c r="K298" s="21">
        <v>0</v>
      </c>
      <c r="L298" s="112">
        <f t="shared" si="161"/>
        <v>0</v>
      </c>
      <c r="M298" s="112">
        <f t="shared" si="162"/>
        <v>0</v>
      </c>
      <c r="N298" s="22">
        <f t="shared" ref="N298:N299" si="164">L298+M298</f>
        <v>0</v>
      </c>
      <c r="O298" s="61"/>
    </row>
    <row r="299" spans="1:18" ht="15.75" x14ac:dyDescent="0.2">
      <c r="A299" s="114">
        <f>IF(G299&lt;&gt;"",1+MAX($A$6:A298),"")</f>
        <v>180</v>
      </c>
      <c r="B299" s="115" t="s">
        <v>281</v>
      </c>
      <c r="C299" s="13"/>
      <c r="D299" s="12"/>
      <c r="E299" s="238" t="s">
        <v>221</v>
      </c>
      <c r="F299" s="237" t="s">
        <v>33</v>
      </c>
      <c r="G299" s="237">
        <v>63</v>
      </c>
      <c r="H299" s="6">
        <v>7.0000000000000007E-2</v>
      </c>
      <c r="I299" s="16">
        <f t="shared" si="160"/>
        <v>67.410000000000011</v>
      </c>
      <c r="J299" s="21">
        <v>0</v>
      </c>
      <c r="K299" s="21">
        <v>0</v>
      </c>
      <c r="L299" s="112">
        <f t="shared" si="161"/>
        <v>0</v>
      </c>
      <c r="M299" s="112">
        <f t="shared" si="162"/>
        <v>0</v>
      </c>
      <c r="N299" s="22">
        <f t="shared" si="164"/>
        <v>0</v>
      </c>
      <c r="O299" s="19"/>
    </row>
    <row r="300" spans="1:18" s="121" customFormat="1" ht="16.5" thickBot="1" x14ac:dyDescent="0.25">
      <c r="A300" s="114">
        <f>IF(G300&lt;&gt;"",1+MAX($A$6:A299),"")</f>
        <v>181</v>
      </c>
      <c r="B300" s="115" t="s">
        <v>282</v>
      </c>
      <c r="C300" s="116"/>
      <c r="D300" s="132"/>
      <c r="E300" s="238" t="s">
        <v>222</v>
      </c>
      <c r="F300" s="237" t="s">
        <v>94</v>
      </c>
      <c r="G300" s="237">
        <v>2640.66</v>
      </c>
      <c r="H300" s="133">
        <v>7.0000000000000007E-2</v>
      </c>
      <c r="I300" s="118">
        <f t="shared" si="160"/>
        <v>2825.5061999999998</v>
      </c>
      <c r="J300" s="21">
        <v>0</v>
      </c>
      <c r="K300" s="21">
        <v>0</v>
      </c>
      <c r="L300" s="112">
        <f t="shared" si="161"/>
        <v>0</v>
      </c>
      <c r="M300" s="112">
        <f t="shared" si="162"/>
        <v>0</v>
      </c>
      <c r="N300" s="22">
        <f>L300+M300</f>
        <v>0</v>
      </c>
      <c r="O300" s="120"/>
      <c r="P300" s="134"/>
      <c r="Q300" s="134"/>
      <c r="R300" s="134"/>
    </row>
    <row r="301" spans="1:18" ht="15.75" thickBot="1" x14ac:dyDescent="0.2">
      <c r="A301" s="114" t="str">
        <f>IF(G301&lt;&gt;"",1+MAX($A$6:A300),"")</f>
        <v/>
      </c>
      <c r="B301" s="115"/>
      <c r="C301" s="50"/>
      <c r="D301" s="132"/>
      <c r="E301" s="259" t="s">
        <v>95</v>
      </c>
      <c r="F301" s="260"/>
      <c r="G301" s="261"/>
      <c r="H301" s="52"/>
      <c r="I301" s="53"/>
      <c r="J301" s="54"/>
      <c r="K301" s="54"/>
      <c r="L301" s="54"/>
      <c r="M301" s="54"/>
      <c r="N301" s="55"/>
      <c r="O301" s="19"/>
    </row>
    <row r="302" spans="1:18" ht="15.75" x14ac:dyDescent="0.2">
      <c r="A302" s="114">
        <f>IF(G302&lt;&gt;"",1+MAX($A$6:A301),"")</f>
        <v>182</v>
      </c>
      <c r="B302" s="115" t="s">
        <v>283</v>
      </c>
      <c r="C302" s="13"/>
      <c r="D302" s="12"/>
      <c r="E302" s="238" t="s">
        <v>223</v>
      </c>
      <c r="F302" s="237" t="s">
        <v>12</v>
      </c>
      <c r="G302" s="237">
        <v>137.1</v>
      </c>
      <c r="H302" s="6">
        <v>7.0000000000000007E-2</v>
      </c>
      <c r="I302" s="16">
        <f t="shared" ref="I302:I312" si="165">G302*(1+H302)</f>
        <v>146.697</v>
      </c>
      <c r="J302" s="21">
        <v>0</v>
      </c>
      <c r="K302" s="21">
        <v>0</v>
      </c>
      <c r="L302" s="112">
        <f t="shared" ref="L302:L308" si="166">J302*I302</f>
        <v>0</v>
      </c>
      <c r="M302" s="112">
        <f t="shared" ref="M302:M308" si="167">K302*I302</f>
        <v>0</v>
      </c>
      <c r="N302" s="22">
        <f t="shared" ref="N302" si="168">L302+M302</f>
        <v>0</v>
      </c>
      <c r="O302" s="19"/>
    </row>
    <row r="303" spans="1:18" s="121" customFormat="1" ht="15.75" x14ac:dyDescent="0.2">
      <c r="A303" s="114">
        <f>IF(G303&lt;&gt;"",1+MAX($A$6:A302),"")</f>
        <v>183</v>
      </c>
      <c r="B303" s="115" t="s">
        <v>283</v>
      </c>
      <c r="C303" s="116"/>
      <c r="D303" s="132"/>
      <c r="E303" s="238" t="s">
        <v>224</v>
      </c>
      <c r="F303" s="237" t="s">
        <v>12</v>
      </c>
      <c r="G303" s="237">
        <v>387.69</v>
      </c>
      <c r="H303" s="133">
        <v>7.0000000000000007E-2</v>
      </c>
      <c r="I303" s="118">
        <f t="shared" si="165"/>
        <v>414.82830000000001</v>
      </c>
      <c r="J303" s="21">
        <v>0</v>
      </c>
      <c r="K303" s="21">
        <v>0</v>
      </c>
      <c r="L303" s="112">
        <f t="shared" si="166"/>
        <v>0</v>
      </c>
      <c r="M303" s="112">
        <f t="shared" si="167"/>
        <v>0</v>
      </c>
      <c r="N303" s="22">
        <f>L303+M303</f>
        <v>0</v>
      </c>
      <c r="O303" s="120"/>
      <c r="P303" s="134"/>
      <c r="Q303" s="134"/>
      <c r="R303" s="134"/>
    </row>
    <row r="304" spans="1:18" ht="15.75" x14ac:dyDescent="0.2">
      <c r="A304" s="114" t="str">
        <f>IF(G304&lt;&gt;"",1+MAX($A$6:A303),"")</f>
        <v/>
      </c>
      <c r="B304" s="115" t="s">
        <v>283</v>
      </c>
      <c r="C304" s="13" t="s">
        <v>284</v>
      </c>
      <c r="D304" s="65"/>
      <c r="E304" s="239" t="s">
        <v>225</v>
      </c>
      <c r="F304" s="237"/>
      <c r="G304" s="236"/>
      <c r="H304" s="6"/>
      <c r="I304" s="9"/>
      <c r="J304" s="24"/>
      <c r="K304" s="24"/>
      <c r="L304" s="24"/>
      <c r="M304" s="24"/>
      <c r="N304" s="226"/>
      <c r="O304" s="61"/>
    </row>
    <row r="305" spans="1:18" ht="15.75" x14ac:dyDescent="0.2">
      <c r="A305" s="114">
        <f>IF(G305&lt;&gt;"",1+MAX($A$6:A304),"")</f>
        <v>184</v>
      </c>
      <c r="B305" s="115"/>
      <c r="C305" s="13"/>
      <c r="D305" s="12"/>
      <c r="E305" s="238" t="s">
        <v>226</v>
      </c>
      <c r="F305" s="237" t="s">
        <v>12</v>
      </c>
      <c r="G305" s="237">
        <v>138536.4</v>
      </c>
      <c r="H305" s="6">
        <v>7.0000000000000007E-2</v>
      </c>
      <c r="I305" s="16">
        <f t="shared" si="165"/>
        <v>148233.948</v>
      </c>
      <c r="J305" s="21">
        <v>0</v>
      </c>
      <c r="K305" s="21">
        <v>0</v>
      </c>
      <c r="L305" s="112">
        <f t="shared" si="166"/>
        <v>0</v>
      </c>
      <c r="M305" s="112">
        <f t="shared" si="167"/>
        <v>0</v>
      </c>
      <c r="N305" s="22">
        <f t="shared" ref="N305" si="169">L305+M305</f>
        <v>0</v>
      </c>
      <c r="O305" s="19"/>
    </row>
    <row r="306" spans="1:18" s="121" customFormat="1" ht="15.75" x14ac:dyDescent="0.2">
      <c r="A306" s="114">
        <f>IF(G306&lt;&gt;"",1+MAX($A$6:A305),"")</f>
        <v>185</v>
      </c>
      <c r="B306" s="115"/>
      <c r="C306" s="116"/>
      <c r="D306" s="132"/>
      <c r="E306" s="238" t="s">
        <v>227</v>
      </c>
      <c r="F306" s="237" t="s">
        <v>13</v>
      </c>
      <c r="G306" s="237">
        <v>5182.3099999999995</v>
      </c>
      <c r="H306" s="133">
        <v>7.0000000000000007E-2</v>
      </c>
      <c r="I306" s="118">
        <f t="shared" si="165"/>
        <v>5545.0716999999995</v>
      </c>
      <c r="J306" s="21">
        <v>0</v>
      </c>
      <c r="K306" s="21">
        <v>0</v>
      </c>
      <c r="L306" s="112">
        <f t="shared" si="166"/>
        <v>0</v>
      </c>
      <c r="M306" s="112">
        <f t="shared" si="167"/>
        <v>0</v>
      </c>
      <c r="N306" s="22">
        <f>L306+M306</f>
        <v>0</v>
      </c>
      <c r="O306" s="120"/>
      <c r="P306" s="134"/>
      <c r="Q306" s="134"/>
      <c r="R306" s="134"/>
    </row>
    <row r="307" spans="1:18" ht="15.75" x14ac:dyDescent="0.2">
      <c r="A307" s="114" t="str">
        <f>IF(G307&lt;&gt;"",1+MAX($A$6:A306),"")</f>
        <v/>
      </c>
      <c r="B307" s="115" t="s">
        <v>283</v>
      </c>
      <c r="C307" s="13" t="s">
        <v>284</v>
      </c>
      <c r="D307" s="65"/>
      <c r="E307" s="239" t="s">
        <v>228</v>
      </c>
      <c r="F307" s="237"/>
      <c r="G307" s="236"/>
      <c r="H307" s="6"/>
      <c r="I307" s="9"/>
      <c r="J307" s="24"/>
      <c r="K307" s="24"/>
      <c r="L307" s="24"/>
      <c r="M307" s="24"/>
      <c r="N307" s="226"/>
      <c r="O307" s="61"/>
    </row>
    <row r="308" spans="1:18" ht="15.75" x14ac:dyDescent="0.2">
      <c r="A308" s="114">
        <f>IF(G308&lt;&gt;"",1+MAX($A$6:A307),"")</f>
        <v>186</v>
      </c>
      <c r="B308" s="115"/>
      <c r="C308" s="13"/>
      <c r="D308" s="12"/>
      <c r="E308" s="238" t="s">
        <v>229</v>
      </c>
      <c r="F308" s="237" t="s">
        <v>12</v>
      </c>
      <c r="G308" s="237">
        <v>16890.98</v>
      </c>
      <c r="H308" s="6">
        <v>7.0000000000000007E-2</v>
      </c>
      <c r="I308" s="16">
        <f t="shared" si="165"/>
        <v>18073.348600000001</v>
      </c>
      <c r="J308" s="21">
        <v>0</v>
      </c>
      <c r="K308" s="21">
        <v>0</v>
      </c>
      <c r="L308" s="112">
        <f t="shared" si="166"/>
        <v>0</v>
      </c>
      <c r="M308" s="112">
        <f t="shared" si="167"/>
        <v>0</v>
      </c>
      <c r="N308" s="22">
        <f t="shared" ref="N308:N309" si="170">L308+M308</f>
        <v>0</v>
      </c>
      <c r="O308" s="19"/>
    </row>
    <row r="309" spans="1:18" ht="15.75" x14ac:dyDescent="0.2">
      <c r="A309" s="114">
        <f>IF(G309&lt;&gt;"",1+MAX($A$6:A308),"")</f>
        <v>187</v>
      </c>
      <c r="B309" s="115"/>
      <c r="C309" s="13"/>
      <c r="D309" s="12"/>
      <c r="E309" s="238" t="s">
        <v>230</v>
      </c>
      <c r="F309" s="237" t="s">
        <v>13</v>
      </c>
      <c r="G309" s="237">
        <v>106.35061481481482</v>
      </c>
      <c r="H309" s="6">
        <v>7.0000000000000007E-2</v>
      </c>
      <c r="I309" s="16">
        <f t="shared" si="165"/>
        <v>113.79515785185187</v>
      </c>
      <c r="J309" s="21">
        <v>0</v>
      </c>
      <c r="K309" s="21">
        <v>0</v>
      </c>
      <c r="L309" s="112">
        <f>J309*I309</f>
        <v>0</v>
      </c>
      <c r="M309" s="112">
        <f>K309*I309</f>
        <v>0</v>
      </c>
      <c r="N309" s="22">
        <f t="shared" si="170"/>
        <v>0</v>
      </c>
      <c r="O309" s="19"/>
    </row>
    <row r="310" spans="1:18" s="121" customFormat="1" ht="15.75" x14ac:dyDescent="0.2">
      <c r="A310" s="114" t="str">
        <f>IF(G310&lt;&gt;"",1+MAX($A$6:A309),"")</f>
        <v/>
      </c>
      <c r="B310" s="115" t="s">
        <v>283</v>
      </c>
      <c r="C310" s="13" t="s">
        <v>284</v>
      </c>
      <c r="D310" s="132"/>
      <c r="E310" s="239" t="s">
        <v>231</v>
      </c>
      <c r="F310" s="237"/>
      <c r="G310" s="236"/>
      <c r="H310" s="6"/>
      <c r="I310" s="9"/>
      <c r="J310" s="24"/>
      <c r="K310" s="24"/>
      <c r="L310" s="24"/>
      <c r="M310" s="24"/>
      <c r="N310" s="226"/>
      <c r="O310" s="120"/>
      <c r="P310" s="134"/>
      <c r="Q310" s="134"/>
      <c r="R310" s="134"/>
    </row>
    <row r="311" spans="1:18" ht="15.75" x14ac:dyDescent="0.2">
      <c r="A311" s="114">
        <f>IF(G311&lt;&gt;"",1+MAX($A$6:A310),"")</f>
        <v>188</v>
      </c>
      <c r="B311" s="115"/>
      <c r="C311" s="13"/>
      <c r="D311" s="65"/>
      <c r="E311" s="238" t="s">
        <v>232</v>
      </c>
      <c r="F311" s="237" t="s">
        <v>12</v>
      </c>
      <c r="G311" s="237">
        <v>11223.31</v>
      </c>
      <c r="H311" s="6">
        <v>7.0000000000000007E-2</v>
      </c>
      <c r="I311" s="16">
        <f t="shared" si="165"/>
        <v>12008.941699999999</v>
      </c>
      <c r="J311" s="21">
        <v>0</v>
      </c>
      <c r="K311" s="21">
        <v>0</v>
      </c>
      <c r="L311" s="112">
        <f>J311*I311</f>
        <v>0</v>
      </c>
      <c r="M311" s="112">
        <f>K311*I311</f>
        <v>0</v>
      </c>
      <c r="N311" s="22">
        <f t="shared" ref="N311:N312" si="171">L311+M311</f>
        <v>0</v>
      </c>
      <c r="O311" s="61"/>
    </row>
    <row r="312" spans="1:18" ht="15.75" x14ac:dyDescent="0.2">
      <c r="A312" s="114">
        <f>IF(G312&lt;&gt;"",1+MAX($A$6:A311),"")</f>
        <v>189</v>
      </c>
      <c r="B312" s="115"/>
      <c r="C312" s="13"/>
      <c r="D312" s="12"/>
      <c r="E312" s="238" t="s">
        <v>233</v>
      </c>
      <c r="F312" s="237" t="s">
        <v>13</v>
      </c>
      <c r="G312" s="237">
        <v>207.83907407407406</v>
      </c>
      <c r="H312" s="6">
        <v>7.0000000000000007E-2</v>
      </c>
      <c r="I312" s="16">
        <f t="shared" si="165"/>
        <v>222.38780925925926</v>
      </c>
      <c r="J312" s="21">
        <v>0</v>
      </c>
      <c r="K312" s="21">
        <v>0</v>
      </c>
      <c r="L312" s="112">
        <f>J312*I312</f>
        <v>0</v>
      </c>
      <c r="M312" s="112">
        <f>K312*I312</f>
        <v>0</v>
      </c>
      <c r="N312" s="22">
        <f t="shared" si="171"/>
        <v>0</v>
      </c>
      <c r="O312" s="19"/>
    </row>
    <row r="313" spans="1:18" s="121" customFormat="1" ht="15.75" x14ac:dyDescent="0.2">
      <c r="A313" s="114" t="str">
        <f>IF(G313&lt;&gt;"",1+MAX($A$6:A312),"")</f>
        <v/>
      </c>
      <c r="B313" s="115" t="s">
        <v>283</v>
      </c>
      <c r="C313" s="13" t="s">
        <v>284</v>
      </c>
      <c r="D313" s="132"/>
      <c r="E313" s="239" t="s">
        <v>234</v>
      </c>
      <c r="F313" s="237"/>
      <c r="G313" s="236"/>
      <c r="H313" s="6"/>
      <c r="I313" s="9"/>
      <c r="J313" s="24"/>
      <c r="K313" s="24"/>
      <c r="L313" s="24"/>
      <c r="M313" s="24"/>
      <c r="N313" s="226"/>
      <c r="O313" s="120"/>
      <c r="P313" s="134"/>
      <c r="Q313" s="134"/>
      <c r="R313" s="134"/>
    </row>
    <row r="314" spans="1:18" ht="15.75" x14ac:dyDescent="0.2">
      <c r="A314" s="114">
        <f>IF(G314&lt;&gt;"",1+MAX($A$6:A313),"")</f>
        <v>190</v>
      </c>
      <c r="B314" s="115"/>
      <c r="C314" s="13"/>
      <c r="D314" s="12"/>
      <c r="E314" s="238" t="s">
        <v>235</v>
      </c>
      <c r="F314" s="237" t="s">
        <v>12</v>
      </c>
      <c r="G314" s="237">
        <v>705.12</v>
      </c>
      <c r="H314" s="6">
        <v>7.0000000000000007E-2</v>
      </c>
      <c r="I314" s="16">
        <f t="shared" ref="I314:I333" si="172">G314*(1+H314)</f>
        <v>754.47840000000008</v>
      </c>
      <c r="J314" s="21">
        <v>0</v>
      </c>
      <c r="K314" s="21">
        <v>0</v>
      </c>
      <c r="L314" s="112">
        <f t="shared" ref="L314:L315" si="173">J314*I314</f>
        <v>0</v>
      </c>
      <c r="M314" s="112">
        <f t="shared" ref="M314:M315" si="174">K314*I314</f>
        <v>0</v>
      </c>
      <c r="N314" s="22">
        <f t="shared" ref="N314" si="175">L314+M314</f>
        <v>0</v>
      </c>
      <c r="O314" s="19"/>
    </row>
    <row r="315" spans="1:18" s="121" customFormat="1" ht="15.75" x14ac:dyDescent="0.2">
      <c r="A315" s="114">
        <f>IF(G315&lt;&gt;"",1+MAX($A$6:A314),"")</f>
        <v>191</v>
      </c>
      <c r="B315" s="115"/>
      <c r="C315" s="116"/>
      <c r="D315" s="132"/>
      <c r="E315" s="238" t="s">
        <v>227</v>
      </c>
      <c r="F315" s="237" t="s">
        <v>13</v>
      </c>
      <c r="G315" s="237">
        <v>26.37671111111111</v>
      </c>
      <c r="H315" s="133">
        <v>7.0000000000000007E-2</v>
      </c>
      <c r="I315" s="118">
        <f t="shared" si="172"/>
        <v>28.223080888888891</v>
      </c>
      <c r="J315" s="21">
        <v>0</v>
      </c>
      <c r="K315" s="21">
        <v>0</v>
      </c>
      <c r="L315" s="112">
        <f t="shared" si="173"/>
        <v>0</v>
      </c>
      <c r="M315" s="112">
        <f t="shared" si="174"/>
        <v>0</v>
      </c>
      <c r="N315" s="22">
        <f>L315+M315</f>
        <v>0</v>
      </c>
      <c r="O315" s="120"/>
      <c r="P315" s="134"/>
      <c r="Q315" s="134"/>
      <c r="R315" s="134"/>
    </row>
    <row r="316" spans="1:18" ht="15.75" x14ac:dyDescent="0.2">
      <c r="A316" s="114" t="str">
        <f>IF(G316&lt;&gt;"",1+MAX($A$6:A315),"")</f>
        <v/>
      </c>
      <c r="B316" s="115" t="s">
        <v>283</v>
      </c>
      <c r="C316" s="13" t="s">
        <v>284</v>
      </c>
      <c r="D316" s="12"/>
      <c r="E316" s="239" t="s">
        <v>236</v>
      </c>
      <c r="F316" s="237"/>
      <c r="G316" s="236"/>
      <c r="H316" s="6"/>
      <c r="I316" s="9"/>
      <c r="J316" s="24"/>
      <c r="K316" s="24"/>
      <c r="L316" s="24"/>
      <c r="M316" s="24"/>
      <c r="N316" s="226"/>
      <c r="O316" s="19"/>
    </row>
    <row r="317" spans="1:18" s="121" customFormat="1" ht="15.75" x14ac:dyDescent="0.2">
      <c r="A317" s="114">
        <f>IF(G317&lt;&gt;"",1+MAX($A$6:A316),"")</f>
        <v>192</v>
      </c>
      <c r="B317" s="115"/>
      <c r="C317" s="116"/>
      <c r="D317" s="132"/>
      <c r="E317" s="238" t="s">
        <v>237</v>
      </c>
      <c r="F317" s="237" t="s">
        <v>13</v>
      </c>
      <c r="G317" s="237">
        <v>217.61115185185187</v>
      </c>
      <c r="H317" s="133">
        <v>7.0000000000000007E-2</v>
      </c>
      <c r="I317" s="118">
        <f t="shared" si="172"/>
        <v>232.84393248148152</v>
      </c>
      <c r="J317" s="21">
        <v>0</v>
      </c>
      <c r="K317" s="21">
        <v>0</v>
      </c>
      <c r="L317" s="112">
        <f>J317*I317</f>
        <v>0</v>
      </c>
      <c r="M317" s="112">
        <f>K317*I317</f>
        <v>0</v>
      </c>
      <c r="N317" s="22">
        <f>L317+M317</f>
        <v>0</v>
      </c>
      <c r="O317" s="120"/>
      <c r="P317" s="134"/>
      <c r="Q317" s="134"/>
      <c r="R317" s="134"/>
    </row>
    <row r="318" spans="1:18" ht="16.5" thickBot="1" x14ac:dyDescent="0.25">
      <c r="A318" s="114">
        <f>IF(G318&lt;&gt;"",1+MAX($A$6:A317),"")</f>
        <v>193</v>
      </c>
      <c r="B318" s="115"/>
      <c r="C318" s="13"/>
      <c r="D318" s="65"/>
      <c r="E318" s="238" t="s">
        <v>238</v>
      </c>
      <c r="F318" s="237" t="s">
        <v>12</v>
      </c>
      <c r="G318" s="237">
        <v>4417.67</v>
      </c>
      <c r="H318" s="6">
        <v>7.0000000000000007E-2</v>
      </c>
      <c r="I318" s="16">
        <f t="shared" si="172"/>
        <v>4726.9069</v>
      </c>
      <c r="J318" s="21">
        <v>0</v>
      </c>
      <c r="K318" s="21">
        <v>0</v>
      </c>
      <c r="L318" s="112">
        <f>J318*I318</f>
        <v>0</v>
      </c>
      <c r="M318" s="112">
        <f>K318*I318</f>
        <v>0</v>
      </c>
      <c r="N318" s="22">
        <f t="shared" ref="N318" si="176">L318+M318</f>
        <v>0</v>
      </c>
      <c r="O318" s="61"/>
    </row>
    <row r="319" spans="1:18" ht="15.75" thickBot="1" x14ac:dyDescent="0.2">
      <c r="A319" s="114" t="str">
        <f>IF(G319&lt;&gt;"",1+MAX($A$6:A318),"")</f>
        <v/>
      </c>
      <c r="B319" s="115"/>
      <c r="C319" s="50"/>
      <c r="D319" s="132"/>
      <c r="E319" s="259" t="s">
        <v>275</v>
      </c>
      <c r="F319" s="260"/>
      <c r="G319" s="261"/>
      <c r="H319" s="52"/>
      <c r="I319" s="53"/>
      <c r="J319" s="54"/>
      <c r="K319" s="54"/>
      <c r="L319" s="54"/>
      <c r="M319" s="54"/>
      <c r="N319" s="55"/>
      <c r="O319" s="19"/>
    </row>
    <row r="320" spans="1:18" s="121" customFormat="1" ht="30" x14ac:dyDescent="0.2">
      <c r="A320" s="114">
        <f>IF(G320&lt;&gt;"",1+MAX($A$6:A319),"")</f>
        <v>194</v>
      </c>
      <c r="B320" s="115" t="s">
        <v>283</v>
      </c>
      <c r="C320" s="13" t="s">
        <v>284</v>
      </c>
      <c r="D320" s="132"/>
      <c r="E320" s="238" t="s">
        <v>239</v>
      </c>
      <c r="F320" s="237" t="s">
        <v>94</v>
      </c>
      <c r="G320" s="237">
        <v>4537.18</v>
      </c>
      <c r="H320" s="133">
        <v>7.0000000000000007E-2</v>
      </c>
      <c r="I320" s="118">
        <f t="shared" si="172"/>
        <v>4854.7826000000005</v>
      </c>
      <c r="J320" s="21">
        <v>0</v>
      </c>
      <c r="K320" s="21">
        <v>0</v>
      </c>
      <c r="L320" s="112">
        <f>J320*I320</f>
        <v>0</v>
      </c>
      <c r="M320" s="112">
        <f>K320*I320</f>
        <v>0</v>
      </c>
      <c r="N320" s="22">
        <f>L320+M320</f>
        <v>0</v>
      </c>
      <c r="O320" s="120"/>
      <c r="P320" s="134"/>
      <c r="Q320" s="134"/>
      <c r="R320" s="134"/>
    </row>
    <row r="321" spans="1:18" ht="30" x14ac:dyDescent="0.2">
      <c r="A321" s="114">
        <f>IF(G321&lt;&gt;"",1+MAX($A$6:A320),"")</f>
        <v>195</v>
      </c>
      <c r="B321" s="115" t="s">
        <v>283</v>
      </c>
      <c r="C321" s="13" t="s">
        <v>284</v>
      </c>
      <c r="D321" s="65"/>
      <c r="E321" s="238" t="s">
        <v>240</v>
      </c>
      <c r="F321" s="237" t="s">
        <v>94</v>
      </c>
      <c r="G321" s="237">
        <v>2241.56</v>
      </c>
      <c r="H321" s="6">
        <v>7.0000000000000007E-2</v>
      </c>
      <c r="I321" s="16">
        <f t="shared" si="172"/>
        <v>2398.4692</v>
      </c>
      <c r="J321" s="21">
        <v>0</v>
      </c>
      <c r="K321" s="21">
        <v>0</v>
      </c>
      <c r="L321" s="112">
        <f>J321*I321</f>
        <v>0</v>
      </c>
      <c r="M321" s="112">
        <f>K321*I321</f>
        <v>0</v>
      </c>
      <c r="N321" s="22">
        <f t="shared" ref="N321:N322" si="177">L321+M321</f>
        <v>0</v>
      </c>
      <c r="O321" s="61"/>
    </row>
    <row r="322" spans="1:18" ht="15.75" x14ac:dyDescent="0.2">
      <c r="A322" s="114">
        <f>IF(G322&lt;&gt;"",1+MAX($A$6:A321),"")</f>
        <v>196</v>
      </c>
      <c r="B322" s="115" t="s">
        <v>283</v>
      </c>
      <c r="C322" s="13" t="s">
        <v>284</v>
      </c>
      <c r="D322" s="12"/>
      <c r="E322" s="238" t="s">
        <v>241</v>
      </c>
      <c r="F322" s="237" t="s">
        <v>94</v>
      </c>
      <c r="G322" s="237">
        <v>36.64</v>
      </c>
      <c r="H322" s="6">
        <v>7.0000000000000007E-2</v>
      </c>
      <c r="I322" s="16">
        <f t="shared" si="172"/>
        <v>39.204800000000006</v>
      </c>
      <c r="J322" s="21">
        <v>0</v>
      </c>
      <c r="K322" s="21">
        <v>0</v>
      </c>
      <c r="L322" s="112">
        <f t="shared" ref="L322:L328" si="178">J322*I322</f>
        <v>0</v>
      </c>
      <c r="M322" s="112">
        <f t="shared" ref="M322:M328" si="179">K322*I322</f>
        <v>0</v>
      </c>
      <c r="N322" s="22">
        <f t="shared" si="177"/>
        <v>0</v>
      </c>
      <c r="O322" s="19"/>
    </row>
    <row r="323" spans="1:18" s="121" customFormat="1" ht="30" x14ac:dyDescent="0.2">
      <c r="A323" s="114">
        <f>IF(G323&lt;&gt;"",1+MAX($A$6:A322),"")</f>
        <v>197</v>
      </c>
      <c r="B323" s="115" t="s">
        <v>283</v>
      </c>
      <c r="C323" s="13" t="s">
        <v>284</v>
      </c>
      <c r="D323" s="132"/>
      <c r="E323" s="238" t="s">
        <v>242</v>
      </c>
      <c r="F323" s="237" t="s">
        <v>94</v>
      </c>
      <c r="G323" s="237">
        <v>67.58</v>
      </c>
      <c r="H323" s="133">
        <v>7.0000000000000007E-2</v>
      </c>
      <c r="I323" s="118">
        <f t="shared" si="172"/>
        <v>72.310600000000008</v>
      </c>
      <c r="J323" s="21">
        <v>0</v>
      </c>
      <c r="K323" s="21">
        <v>0</v>
      </c>
      <c r="L323" s="112">
        <f t="shared" si="178"/>
        <v>0</v>
      </c>
      <c r="M323" s="112">
        <f t="shared" si="179"/>
        <v>0</v>
      </c>
      <c r="N323" s="22">
        <f>L323+M323</f>
        <v>0</v>
      </c>
      <c r="O323" s="120"/>
      <c r="P323" s="134"/>
      <c r="Q323" s="134"/>
      <c r="R323" s="134"/>
    </row>
    <row r="324" spans="1:18" ht="30" x14ac:dyDescent="0.2">
      <c r="A324" s="114">
        <f>IF(G324&lt;&gt;"",1+MAX($A$6:A323),"")</f>
        <v>198</v>
      </c>
      <c r="B324" s="115" t="s">
        <v>283</v>
      </c>
      <c r="C324" s="13" t="s">
        <v>284</v>
      </c>
      <c r="D324" s="65"/>
      <c r="E324" s="238" t="s">
        <v>243</v>
      </c>
      <c r="F324" s="237" t="s">
        <v>94</v>
      </c>
      <c r="G324" s="237">
        <v>152.13</v>
      </c>
      <c r="H324" s="6">
        <v>7.0000000000000007E-2</v>
      </c>
      <c r="I324" s="16">
        <f t="shared" si="172"/>
        <v>162.7791</v>
      </c>
      <c r="J324" s="21">
        <v>0</v>
      </c>
      <c r="K324" s="21">
        <v>0</v>
      </c>
      <c r="L324" s="112">
        <f t="shared" si="178"/>
        <v>0</v>
      </c>
      <c r="M324" s="112">
        <f t="shared" si="179"/>
        <v>0</v>
      </c>
      <c r="N324" s="22">
        <f t="shared" ref="N324:N325" si="180">L324+M324</f>
        <v>0</v>
      </c>
      <c r="O324" s="61"/>
    </row>
    <row r="325" spans="1:18" ht="16.5" thickBot="1" x14ac:dyDescent="0.25">
      <c r="A325" s="114">
        <f>IF(G325&lt;&gt;"",1+MAX($A$6:A324),"")</f>
        <v>199</v>
      </c>
      <c r="B325" s="115" t="s">
        <v>283</v>
      </c>
      <c r="C325" s="13" t="s">
        <v>284</v>
      </c>
      <c r="D325" s="12"/>
      <c r="E325" s="238" t="s">
        <v>244</v>
      </c>
      <c r="F325" s="237" t="s">
        <v>94</v>
      </c>
      <c r="G325" s="237">
        <v>148.36000000000001</v>
      </c>
      <c r="H325" s="6">
        <v>7.0000000000000007E-2</v>
      </c>
      <c r="I325" s="16">
        <f t="shared" si="172"/>
        <v>158.74520000000001</v>
      </c>
      <c r="J325" s="21">
        <v>0</v>
      </c>
      <c r="K325" s="21">
        <v>0</v>
      </c>
      <c r="L325" s="112">
        <f t="shared" si="178"/>
        <v>0</v>
      </c>
      <c r="M325" s="112">
        <f t="shared" si="179"/>
        <v>0</v>
      </c>
      <c r="N325" s="22">
        <f t="shared" si="180"/>
        <v>0</v>
      </c>
      <c r="O325" s="19"/>
    </row>
    <row r="326" spans="1:18" ht="15.75" thickBot="1" x14ac:dyDescent="0.2">
      <c r="A326" s="114" t="str">
        <f>IF(G326&lt;&gt;"",1+MAX($A$6:A325),"")</f>
        <v/>
      </c>
      <c r="B326" s="115"/>
      <c r="C326" s="50"/>
      <c r="D326" s="132"/>
      <c r="E326" s="259" t="s">
        <v>97</v>
      </c>
      <c r="F326" s="260"/>
      <c r="G326" s="261"/>
      <c r="H326" s="52"/>
      <c r="I326" s="53"/>
      <c r="J326" s="54"/>
      <c r="K326" s="54"/>
      <c r="L326" s="54"/>
      <c r="M326" s="54"/>
      <c r="N326" s="55"/>
      <c r="O326" s="19"/>
    </row>
    <row r="327" spans="1:18" ht="15.75" x14ac:dyDescent="0.2">
      <c r="A327" s="114">
        <f>IF(G327&lt;&gt;"",1+MAX($A$6:A326),"")</f>
        <v>200</v>
      </c>
      <c r="B327" s="115" t="s">
        <v>283</v>
      </c>
      <c r="C327" s="13" t="s">
        <v>284</v>
      </c>
      <c r="D327" s="65"/>
      <c r="E327" s="238" t="s">
        <v>245</v>
      </c>
      <c r="F327" s="237" t="s">
        <v>94</v>
      </c>
      <c r="G327" s="237">
        <v>1718.68</v>
      </c>
      <c r="H327" s="6">
        <v>7.0000000000000007E-2</v>
      </c>
      <c r="I327" s="16">
        <f t="shared" si="172"/>
        <v>1838.9876000000002</v>
      </c>
      <c r="J327" s="21">
        <v>0</v>
      </c>
      <c r="K327" s="21">
        <v>0</v>
      </c>
      <c r="L327" s="112">
        <f t="shared" si="178"/>
        <v>0</v>
      </c>
      <c r="M327" s="112">
        <f t="shared" si="179"/>
        <v>0</v>
      </c>
      <c r="N327" s="22">
        <f t="shared" ref="N327:N329" si="181">L327+M327</f>
        <v>0</v>
      </c>
      <c r="O327" s="61"/>
    </row>
    <row r="328" spans="1:18" ht="15.75" x14ac:dyDescent="0.2">
      <c r="A328" s="114">
        <f>IF(G328&lt;&gt;"",1+MAX($A$6:A327),"")</f>
        <v>201</v>
      </c>
      <c r="B328" s="115" t="s">
        <v>283</v>
      </c>
      <c r="C328" s="13" t="s">
        <v>284</v>
      </c>
      <c r="D328" s="12"/>
      <c r="E328" s="238" t="s">
        <v>246</v>
      </c>
      <c r="F328" s="237" t="s">
        <v>33</v>
      </c>
      <c r="G328" s="237">
        <v>4</v>
      </c>
      <c r="H328" s="6">
        <v>7.0000000000000007E-2</v>
      </c>
      <c r="I328" s="16">
        <f t="shared" si="172"/>
        <v>4.28</v>
      </c>
      <c r="J328" s="21">
        <v>0</v>
      </c>
      <c r="K328" s="21">
        <v>0</v>
      </c>
      <c r="L328" s="112">
        <f t="shared" si="178"/>
        <v>0</v>
      </c>
      <c r="M328" s="112">
        <f t="shared" si="179"/>
        <v>0</v>
      </c>
      <c r="N328" s="22">
        <f t="shared" si="181"/>
        <v>0</v>
      </c>
      <c r="O328" s="19"/>
    </row>
    <row r="329" spans="1:18" ht="30" x14ac:dyDescent="0.2">
      <c r="A329" s="114">
        <f>IF(G329&lt;&gt;"",1+MAX($A$6:A328),"")</f>
        <v>202</v>
      </c>
      <c r="B329" s="115" t="s">
        <v>283</v>
      </c>
      <c r="C329" s="13" t="s">
        <v>284</v>
      </c>
      <c r="D329" s="12"/>
      <c r="E329" s="238" t="s">
        <v>247</v>
      </c>
      <c r="F329" s="237" t="s">
        <v>33</v>
      </c>
      <c r="G329" s="237">
        <v>3</v>
      </c>
      <c r="H329" s="6">
        <v>7.0000000000000007E-2</v>
      </c>
      <c r="I329" s="16">
        <f t="shared" si="172"/>
        <v>3.21</v>
      </c>
      <c r="J329" s="21">
        <v>0</v>
      </c>
      <c r="K329" s="21">
        <v>0</v>
      </c>
      <c r="L329" s="112">
        <f>J329*I329</f>
        <v>0</v>
      </c>
      <c r="M329" s="112">
        <f>K329*I329</f>
        <v>0</v>
      </c>
      <c r="N329" s="22">
        <f t="shared" si="181"/>
        <v>0</v>
      </c>
      <c r="O329" s="19"/>
    </row>
    <row r="330" spans="1:18" s="121" customFormat="1" ht="30" x14ac:dyDescent="0.2">
      <c r="A330" s="114">
        <f>IF(G330&lt;&gt;"",1+MAX($A$6:A329),"")</f>
        <v>203</v>
      </c>
      <c r="B330" s="115" t="s">
        <v>283</v>
      </c>
      <c r="C330" s="13" t="s">
        <v>284</v>
      </c>
      <c r="D330" s="132"/>
      <c r="E330" s="238" t="s">
        <v>248</v>
      </c>
      <c r="F330" s="237" t="s">
        <v>33</v>
      </c>
      <c r="G330" s="237">
        <v>3</v>
      </c>
      <c r="H330" s="133">
        <v>7.0000000000000007E-2</v>
      </c>
      <c r="I330" s="118">
        <f t="shared" si="172"/>
        <v>3.21</v>
      </c>
      <c r="J330" s="21">
        <v>0</v>
      </c>
      <c r="K330" s="21">
        <v>0</v>
      </c>
      <c r="L330" s="112">
        <f>J330*I330</f>
        <v>0</v>
      </c>
      <c r="M330" s="112">
        <f>K330*I330</f>
        <v>0</v>
      </c>
      <c r="N330" s="22">
        <f>L330+M330</f>
        <v>0</v>
      </c>
      <c r="O330" s="120"/>
      <c r="P330" s="134"/>
      <c r="Q330" s="134"/>
      <c r="R330" s="134"/>
    </row>
    <row r="331" spans="1:18" ht="15.75" x14ac:dyDescent="0.2">
      <c r="A331" s="114">
        <f>IF(G331&lt;&gt;"",1+MAX($A$6:A330),"")</f>
        <v>204</v>
      </c>
      <c r="B331" s="115" t="s">
        <v>283</v>
      </c>
      <c r="C331" s="13" t="s">
        <v>284</v>
      </c>
      <c r="D331" s="65"/>
      <c r="E331" s="238" t="s">
        <v>249</v>
      </c>
      <c r="F331" s="237" t="s">
        <v>33</v>
      </c>
      <c r="G331" s="237">
        <v>3</v>
      </c>
      <c r="H331" s="6">
        <v>7.0000000000000007E-2</v>
      </c>
      <c r="I331" s="16">
        <f t="shared" si="172"/>
        <v>3.21</v>
      </c>
      <c r="J331" s="21">
        <v>0</v>
      </c>
      <c r="K331" s="21">
        <v>0</v>
      </c>
      <c r="L331" s="112">
        <f>J331*I331</f>
        <v>0</v>
      </c>
      <c r="M331" s="112">
        <f>K331*I331</f>
        <v>0</v>
      </c>
      <c r="N331" s="22">
        <f t="shared" ref="N331:N332" si="182">L331+M331</f>
        <v>0</v>
      </c>
      <c r="O331" s="61"/>
    </row>
    <row r="332" spans="1:18" ht="15.75" x14ac:dyDescent="0.2">
      <c r="A332" s="114">
        <f>IF(G332&lt;&gt;"",1+MAX($A$6:A331),"")</f>
        <v>205</v>
      </c>
      <c r="B332" s="115" t="s">
        <v>283</v>
      </c>
      <c r="C332" s="13" t="s">
        <v>284</v>
      </c>
      <c r="D332" s="12"/>
      <c r="E332" s="238" t="s">
        <v>250</v>
      </c>
      <c r="F332" s="237" t="s">
        <v>12</v>
      </c>
      <c r="G332" s="237">
        <v>407.79</v>
      </c>
      <c r="H332" s="6">
        <v>7.0000000000000007E-2</v>
      </c>
      <c r="I332" s="16">
        <f t="shared" si="172"/>
        <v>436.33530000000007</v>
      </c>
      <c r="J332" s="21">
        <v>0</v>
      </c>
      <c r="K332" s="21">
        <v>0</v>
      </c>
      <c r="L332" s="112">
        <f>J332*I332</f>
        <v>0</v>
      </c>
      <c r="M332" s="112">
        <f>K332*I332</f>
        <v>0</v>
      </c>
      <c r="N332" s="22">
        <f t="shared" si="182"/>
        <v>0</v>
      </c>
      <c r="O332" s="19"/>
    </row>
    <row r="333" spans="1:18" s="121" customFormat="1" ht="15.75" x14ac:dyDescent="0.2">
      <c r="A333" s="114">
        <f>IF(G333&lt;&gt;"",1+MAX($A$6:A332),"")</f>
        <v>206</v>
      </c>
      <c r="B333" s="115" t="s">
        <v>283</v>
      </c>
      <c r="C333" s="13" t="s">
        <v>284</v>
      </c>
      <c r="D333" s="132"/>
      <c r="E333" s="238" t="s">
        <v>251</v>
      </c>
      <c r="F333" s="237" t="s">
        <v>94</v>
      </c>
      <c r="G333" s="237">
        <v>288.87</v>
      </c>
      <c r="H333" s="133">
        <v>7.0000000000000007E-2</v>
      </c>
      <c r="I333" s="118">
        <f t="shared" si="172"/>
        <v>309.09090000000003</v>
      </c>
      <c r="J333" s="21">
        <v>0</v>
      </c>
      <c r="K333" s="21">
        <v>0</v>
      </c>
      <c r="L333" s="112">
        <f>J333*I333</f>
        <v>0</v>
      </c>
      <c r="M333" s="112">
        <f>K333*I333</f>
        <v>0</v>
      </c>
      <c r="N333" s="22">
        <f>L333+M333</f>
        <v>0</v>
      </c>
      <c r="O333" s="120"/>
      <c r="P333" s="134"/>
      <c r="Q333" s="134"/>
      <c r="R333" s="134"/>
    </row>
    <row r="334" spans="1:18" ht="15.75" x14ac:dyDescent="0.2">
      <c r="A334" s="114">
        <f>IF(G334&lt;&gt;"",1+MAX($A$6:A333),"")</f>
        <v>207</v>
      </c>
      <c r="B334" s="115" t="s">
        <v>283</v>
      </c>
      <c r="C334" s="13" t="s">
        <v>284</v>
      </c>
      <c r="D334" s="12"/>
      <c r="E334" s="238" t="s">
        <v>252</v>
      </c>
      <c r="F334" s="237" t="s">
        <v>94</v>
      </c>
      <c r="G334" s="237">
        <v>225.15</v>
      </c>
      <c r="H334" s="6">
        <v>7.0000000000000007E-2</v>
      </c>
      <c r="I334" s="16">
        <f t="shared" ref="I334:I353" si="183">G334*(1+H334)</f>
        <v>240.91050000000001</v>
      </c>
      <c r="J334" s="21">
        <v>0</v>
      </c>
      <c r="K334" s="21">
        <v>0</v>
      </c>
      <c r="L334" s="112">
        <f t="shared" ref="L334:L335" si="184">J334*I334</f>
        <v>0</v>
      </c>
      <c r="M334" s="112">
        <f t="shared" ref="M334:M335" si="185">K334*I334</f>
        <v>0</v>
      </c>
      <c r="N334" s="22">
        <f t="shared" ref="N334" si="186">L334+M334</f>
        <v>0</v>
      </c>
      <c r="O334" s="19"/>
    </row>
    <row r="335" spans="1:18" s="121" customFormat="1" ht="15.75" x14ac:dyDescent="0.2">
      <c r="A335" s="114">
        <f>IF(G335&lt;&gt;"",1+MAX($A$6:A334),"")</f>
        <v>208</v>
      </c>
      <c r="B335" s="115" t="s">
        <v>283</v>
      </c>
      <c r="C335" s="13" t="s">
        <v>284</v>
      </c>
      <c r="D335" s="132"/>
      <c r="E335" s="238" t="s">
        <v>253</v>
      </c>
      <c r="F335" s="237" t="s">
        <v>94</v>
      </c>
      <c r="G335" s="237">
        <v>73.31</v>
      </c>
      <c r="H335" s="133">
        <v>7.0000000000000007E-2</v>
      </c>
      <c r="I335" s="118">
        <f t="shared" si="183"/>
        <v>78.441700000000012</v>
      </c>
      <c r="J335" s="21">
        <v>0</v>
      </c>
      <c r="K335" s="21">
        <v>0</v>
      </c>
      <c r="L335" s="112">
        <f t="shared" si="184"/>
        <v>0</v>
      </c>
      <c r="M335" s="112">
        <f t="shared" si="185"/>
        <v>0</v>
      </c>
      <c r="N335" s="22">
        <f>L335+M335</f>
        <v>0</v>
      </c>
      <c r="O335" s="120"/>
      <c r="P335" s="134"/>
      <c r="Q335" s="134"/>
      <c r="R335" s="134"/>
    </row>
    <row r="336" spans="1:18" ht="30" x14ac:dyDescent="0.2">
      <c r="A336" s="114">
        <f>IF(G336&lt;&gt;"",1+MAX($A$6:A335),"")</f>
        <v>209</v>
      </c>
      <c r="B336" s="115" t="s">
        <v>283</v>
      </c>
      <c r="C336" s="13" t="s">
        <v>284</v>
      </c>
      <c r="D336" s="12"/>
      <c r="E336" s="238" t="s">
        <v>254</v>
      </c>
      <c r="F336" s="237" t="s">
        <v>33</v>
      </c>
      <c r="G336" s="237">
        <v>21</v>
      </c>
      <c r="H336" s="6">
        <v>7.0000000000000007E-2</v>
      </c>
      <c r="I336" s="16">
        <f t="shared" si="183"/>
        <v>22.470000000000002</v>
      </c>
      <c r="J336" s="21">
        <v>0</v>
      </c>
      <c r="K336" s="21">
        <v>0</v>
      </c>
      <c r="L336" s="112">
        <f t="shared" ref="L336:L341" si="187">J336*I336</f>
        <v>0</v>
      </c>
      <c r="M336" s="112">
        <f t="shared" ref="M336:M341" si="188">K336*I336</f>
        <v>0</v>
      </c>
      <c r="N336" s="22">
        <f t="shared" ref="N336" si="189">L336+M336</f>
        <v>0</v>
      </c>
      <c r="O336" s="19"/>
    </row>
    <row r="337" spans="1:18" s="121" customFormat="1" ht="15.75" x14ac:dyDescent="0.2">
      <c r="A337" s="114">
        <f>IF(G337&lt;&gt;"",1+MAX($A$6:A336),"")</f>
        <v>210</v>
      </c>
      <c r="B337" s="115" t="s">
        <v>283</v>
      </c>
      <c r="C337" s="13" t="s">
        <v>284</v>
      </c>
      <c r="D337" s="132"/>
      <c r="E337" s="238" t="s">
        <v>255</v>
      </c>
      <c r="F337" s="237" t="s">
        <v>33</v>
      </c>
      <c r="G337" s="237">
        <v>1</v>
      </c>
      <c r="H337" s="133">
        <v>7.0000000000000007E-2</v>
      </c>
      <c r="I337" s="118">
        <f t="shared" si="183"/>
        <v>1.07</v>
      </c>
      <c r="J337" s="21">
        <v>0</v>
      </c>
      <c r="K337" s="21">
        <v>0</v>
      </c>
      <c r="L337" s="112">
        <f t="shared" si="187"/>
        <v>0</v>
      </c>
      <c r="M337" s="112">
        <f t="shared" si="188"/>
        <v>0</v>
      </c>
      <c r="N337" s="22">
        <f>L337+M337</f>
        <v>0</v>
      </c>
      <c r="O337" s="120"/>
      <c r="P337" s="134"/>
      <c r="Q337" s="134"/>
      <c r="R337" s="134"/>
    </row>
    <row r="338" spans="1:18" ht="15.75" x14ac:dyDescent="0.2">
      <c r="A338" s="114">
        <f>IF(G338&lt;&gt;"",1+MAX($A$6:A337),"")</f>
        <v>211</v>
      </c>
      <c r="B338" s="115" t="s">
        <v>283</v>
      </c>
      <c r="C338" s="13" t="s">
        <v>284</v>
      </c>
      <c r="D338" s="65"/>
      <c r="E338" s="238" t="s">
        <v>92</v>
      </c>
      <c r="F338" s="237" t="s">
        <v>33</v>
      </c>
      <c r="G338" s="237">
        <v>3</v>
      </c>
      <c r="H338" s="6">
        <v>7.0000000000000007E-2</v>
      </c>
      <c r="I338" s="16">
        <f t="shared" si="183"/>
        <v>3.21</v>
      </c>
      <c r="J338" s="21">
        <v>0</v>
      </c>
      <c r="K338" s="21">
        <v>0</v>
      </c>
      <c r="L338" s="112">
        <f t="shared" si="187"/>
        <v>0</v>
      </c>
      <c r="M338" s="112">
        <f t="shared" si="188"/>
        <v>0</v>
      </c>
      <c r="N338" s="22">
        <f t="shared" ref="N338:N339" si="190">L338+M338</f>
        <v>0</v>
      </c>
      <c r="O338" s="61"/>
    </row>
    <row r="339" spans="1:18" ht="15.75" x14ac:dyDescent="0.2">
      <c r="A339" s="114">
        <f>IF(G339&lt;&gt;"",1+MAX($A$6:A338),"")</f>
        <v>212</v>
      </c>
      <c r="B339" s="115" t="s">
        <v>283</v>
      </c>
      <c r="C339" s="13" t="s">
        <v>284</v>
      </c>
      <c r="D339" s="12"/>
      <c r="E339" s="238" t="s">
        <v>256</v>
      </c>
      <c r="F339" s="237" t="s">
        <v>33</v>
      </c>
      <c r="G339" s="237">
        <v>7</v>
      </c>
      <c r="H339" s="6">
        <v>7.0000000000000007E-2</v>
      </c>
      <c r="I339" s="16">
        <f t="shared" si="183"/>
        <v>7.49</v>
      </c>
      <c r="J339" s="21">
        <v>0</v>
      </c>
      <c r="K339" s="21">
        <v>0</v>
      </c>
      <c r="L339" s="112">
        <f t="shared" si="187"/>
        <v>0</v>
      </c>
      <c r="M339" s="112">
        <f t="shared" si="188"/>
        <v>0</v>
      </c>
      <c r="N339" s="22">
        <f t="shared" si="190"/>
        <v>0</v>
      </c>
      <c r="O339" s="19"/>
    </row>
    <row r="340" spans="1:18" s="121" customFormat="1" ht="15.75" x14ac:dyDescent="0.2">
      <c r="A340" s="114">
        <f>IF(G340&lt;&gt;"",1+MAX($A$6:A339),"")</f>
        <v>213</v>
      </c>
      <c r="B340" s="115" t="s">
        <v>283</v>
      </c>
      <c r="C340" s="13" t="s">
        <v>284</v>
      </c>
      <c r="D340" s="132"/>
      <c r="E340" s="238" t="s">
        <v>257</v>
      </c>
      <c r="F340" s="237" t="s">
        <v>33</v>
      </c>
      <c r="G340" s="237">
        <v>9</v>
      </c>
      <c r="H340" s="133">
        <v>7.0000000000000007E-2</v>
      </c>
      <c r="I340" s="118">
        <f t="shared" si="183"/>
        <v>9.6300000000000008</v>
      </c>
      <c r="J340" s="21">
        <v>0</v>
      </c>
      <c r="K340" s="21">
        <v>0</v>
      </c>
      <c r="L340" s="112">
        <f t="shared" si="187"/>
        <v>0</v>
      </c>
      <c r="M340" s="112">
        <f t="shared" si="188"/>
        <v>0</v>
      </c>
      <c r="N340" s="22">
        <f>L340+M340</f>
        <v>0</v>
      </c>
      <c r="O340" s="120"/>
      <c r="P340" s="134"/>
      <c r="Q340" s="134"/>
      <c r="R340" s="134"/>
    </row>
    <row r="341" spans="1:18" ht="15.75" x14ac:dyDescent="0.2">
      <c r="A341" s="114">
        <f>IF(G341&lt;&gt;"",1+MAX($A$6:A340),"")</f>
        <v>214</v>
      </c>
      <c r="B341" s="115" t="s">
        <v>283</v>
      </c>
      <c r="C341" s="13" t="s">
        <v>284</v>
      </c>
      <c r="D341" s="65"/>
      <c r="E341" s="238" t="s">
        <v>258</v>
      </c>
      <c r="F341" s="237" t="s">
        <v>94</v>
      </c>
      <c r="G341" s="237">
        <v>62.39</v>
      </c>
      <c r="H341" s="6">
        <v>7.0000000000000007E-2</v>
      </c>
      <c r="I341" s="16">
        <f t="shared" si="183"/>
        <v>66.757300000000001</v>
      </c>
      <c r="J341" s="21">
        <v>0</v>
      </c>
      <c r="K341" s="21">
        <v>0</v>
      </c>
      <c r="L341" s="112">
        <f t="shared" si="187"/>
        <v>0</v>
      </c>
      <c r="M341" s="112">
        <f t="shared" si="188"/>
        <v>0</v>
      </c>
      <c r="N341" s="22">
        <f t="shared" ref="N341:N342" si="191">L341+M341</f>
        <v>0</v>
      </c>
      <c r="O341" s="61"/>
    </row>
    <row r="342" spans="1:18" ht="15.75" x14ac:dyDescent="0.2">
      <c r="A342" s="114">
        <f>IF(G342&lt;&gt;"",1+MAX($A$6:A341),"")</f>
        <v>215</v>
      </c>
      <c r="B342" s="115" t="s">
        <v>283</v>
      </c>
      <c r="C342" s="13" t="s">
        <v>284</v>
      </c>
      <c r="D342" s="12"/>
      <c r="E342" s="238" t="s">
        <v>259</v>
      </c>
      <c r="F342" s="237" t="s">
        <v>94</v>
      </c>
      <c r="G342" s="237">
        <v>18.55</v>
      </c>
      <c r="H342" s="6">
        <v>7.0000000000000007E-2</v>
      </c>
      <c r="I342" s="16">
        <f t="shared" si="183"/>
        <v>19.848500000000001</v>
      </c>
      <c r="J342" s="21">
        <v>0</v>
      </c>
      <c r="K342" s="21">
        <v>0</v>
      </c>
      <c r="L342" s="112">
        <f t="shared" ref="L342:L349" si="192">J342*I342</f>
        <v>0</v>
      </c>
      <c r="M342" s="112">
        <f t="shared" ref="M342:M349" si="193">K342*I342</f>
        <v>0</v>
      </c>
      <c r="N342" s="22">
        <f t="shared" si="191"/>
        <v>0</v>
      </c>
      <c r="O342" s="19"/>
    </row>
    <row r="343" spans="1:18" s="121" customFormat="1" ht="15.75" x14ac:dyDescent="0.2">
      <c r="A343" s="114">
        <f>IF(G343&lt;&gt;"",1+MAX($A$6:A342),"")</f>
        <v>216</v>
      </c>
      <c r="B343" s="115" t="s">
        <v>283</v>
      </c>
      <c r="C343" s="13" t="s">
        <v>284</v>
      </c>
      <c r="D343" s="132"/>
      <c r="E343" s="238" t="s">
        <v>260</v>
      </c>
      <c r="F343" s="237" t="s">
        <v>94</v>
      </c>
      <c r="G343" s="237">
        <v>198.77</v>
      </c>
      <c r="H343" s="133">
        <v>7.0000000000000007E-2</v>
      </c>
      <c r="I343" s="118">
        <f t="shared" si="183"/>
        <v>212.68390000000002</v>
      </c>
      <c r="J343" s="21">
        <v>0</v>
      </c>
      <c r="K343" s="21">
        <v>0</v>
      </c>
      <c r="L343" s="112">
        <f t="shared" si="192"/>
        <v>0</v>
      </c>
      <c r="M343" s="112">
        <f t="shared" si="193"/>
        <v>0</v>
      </c>
      <c r="N343" s="22">
        <f>L343+M343</f>
        <v>0</v>
      </c>
      <c r="O343" s="120"/>
      <c r="P343" s="134"/>
      <c r="Q343" s="134"/>
      <c r="R343" s="134"/>
    </row>
    <row r="344" spans="1:18" ht="15.75" x14ac:dyDescent="0.2">
      <c r="A344" s="114">
        <f>IF(G344&lt;&gt;"",1+MAX($A$6:A343),"")</f>
        <v>217</v>
      </c>
      <c r="B344" s="115" t="s">
        <v>283</v>
      </c>
      <c r="C344" s="13" t="s">
        <v>284</v>
      </c>
      <c r="D344" s="65"/>
      <c r="E344" s="238" t="s">
        <v>261</v>
      </c>
      <c r="F344" s="237" t="s">
        <v>33</v>
      </c>
      <c r="G344" s="237">
        <v>7</v>
      </c>
      <c r="H344" s="6">
        <v>7.0000000000000007E-2</v>
      </c>
      <c r="I344" s="16">
        <f t="shared" si="183"/>
        <v>7.49</v>
      </c>
      <c r="J344" s="21">
        <v>0</v>
      </c>
      <c r="K344" s="21">
        <v>0</v>
      </c>
      <c r="L344" s="112">
        <f t="shared" si="192"/>
        <v>0</v>
      </c>
      <c r="M344" s="112">
        <f t="shared" si="193"/>
        <v>0</v>
      </c>
      <c r="N344" s="22">
        <f t="shared" ref="N344" si="194">L344+M344</f>
        <v>0</v>
      </c>
      <c r="O344" s="61"/>
    </row>
    <row r="345" spans="1:18" ht="16.5" thickBot="1" x14ac:dyDescent="0.25">
      <c r="A345" s="114">
        <f>IF(G345&lt;&gt;"",1+MAX($A$6:A344),"")</f>
        <v>218</v>
      </c>
      <c r="B345" s="115" t="s">
        <v>283</v>
      </c>
      <c r="C345" s="13" t="s">
        <v>284</v>
      </c>
      <c r="D345" s="65"/>
      <c r="E345" s="238" t="s">
        <v>296</v>
      </c>
      <c r="F345" s="237" t="s">
        <v>33</v>
      </c>
      <c r="G345" s="237">
        <v>2</v>
      </c>
      <c r="H345" s="6">
        <v>7.0000000000000007E-2</v>
      </c>
      <c r="I345" s="16">
        <f t="shared" ref="I345" si="195">G345*(1+H345)</f>
        <v>2.14</v>
      </c>
      <c r="J345" s="21">
        <v>0</v>
      </c>
      <c r="K345" s="21">
        <v>0</v>
      </c>
      <c r="L345" s="112">
        <f t="shared" ref="L345" si="196">J345*I345</f>
        <v>0</v>
      </c>
      <c r="M345" s="112">
        <f t="shared" ref="M345" si="197">K345*I345</f>
        <v>0</v>
      </c>
      <c r="N345" s="22">
        <f t="shared" ref="N345" si="198">L345+M345</f>
        <v>0</v>
      </c>
      <c r="O345" s="61"/>
    </row>
    <row r="346" spans="1:18" ht="15.75" thickBot="1" x14ac:dyDescent="0.2">
      <c r="A346" s="114" t="str">
        <f>IF(G346&lt;&gt;"",1+MAX($A$6:A345),"")</f>
        <v/>
      </c>
      <c r="B346" s="115"/>
      <c r="C346" s="50"/>
      <c r="D346" s="132"/>
      <c r="E346" s="259" t="s">
        <v>98</v>
      </c>
      <c r="F346" s="260"/>
      <c r="G346" s="261"/>
      <c r="H346" s="52"/>
      <c r="I346" s="53"/>
      <c r="J346" s="54"/>
      <c r="K346" s="54"/>
      <c r="L346" s="54"/>
      <c r="M346" s="54"/>
      <c r="N346" s="55"/>
      <c r="O346" s="19"/>
    </row>
    <row r="347" spans="1:18" s="121" customFormat="1" ht="15.75" x14ac:dyDescent="0.2">
      <c r="A347" s="114">
        <f>IF(G347&lt;&gt;"",1+MAX($A$6:A346),"")</f>
        <v>219</v>
      </c>
      <c r="B347" s="115" t="s">
        <v>278</v>
      </c>
      <c r="C347" s="116"/>
      <c r="D347" s="132"/>
      <c r="E347" s="238" t="s">
        <v>262</v>
      </c>
      <c r="F347" s="237" t="s">
        <v>33</v>
      </c>
      <c r="G347" s="237">
        <v>1</v>
      </c>
      <c r="H347" s="133">
        <v>7.0000000000000007E-2</v>
      </c>
      <c r="I347" s="118">
        <f t="shared" si="183"/>
        <v>1.07</v>
      </c>
      <c r="J347" s="21">
        <v>0</v>
      </c>
      <c r="K347" s="21">
        <v>0</v>
      </c>
      <c r="L347" s="112">
        <f t="shared" si="192"/>
        <v>0</v>
      </c>
      <c r="M347" s="112">
        <f t="shared" si="193"/>
        <v>0</v>
      </c>
      <c r="N347" s="22">
        <f>L347+M347</f>
        <v>0</v>
      </c>
      <c r="O347" s="120"/>
      <c r="P347" s="134"/>
      <c r="Q347" s="134"/>
      <c r="R347" s="134"/>
    </row>
    <row r="348" spans="1:18" ht="15.75" x14ac:dyDescent="0.2">
      <c r="A348" s="114">
        <f>IF(G348&lt;&gt;"",1+MAX($A$6:A347),"")</f>
        <v>220</v>
      </c>
      <c r="B348" s="115" t="s">
        <v>279</v>
      </c>
      <c r="C348" s="13"/>
      <c r="D348" s="65"/>
      <c r="E348" s="238" t="s">
        <v>263</v>
      </c>
      <c r="F348" s="237" t="s">
        <v>33</v>
      </c>
      <c r="G348" s="237">
        <v>7</v>
      </c>
      <c r="H348" s="6">
        <v>7.0000000000000007E-2</v>
      </c>
      <c r="I348" s="16">
        <f t="shared" si="183"/>
        <v>7.49</v>
      </c>
      <c r="J348" s="21">
        <v>0</v>
      </c>
      <c r="K348" s="21">
        <v>0</v>
      </c>
      <c r="L348" s="112">
        <f t="shared" si="192"/>
        <v>0</v>
      </c>
      <c r="M348" s="112">
        <f t="shared" si="193"/>
        <v>0</v>
      </c>
      <c r="N348" s="22">
        <f t="shared" ref="N348:N350" si="199">L348+M348</f>
        <v>0</v>
      </c>
      <c r="O348" s="61"/>
    </row>
    <row r="349" spans="1:18" ht="15.75" x14ac:dyDescent="0.2">
      <c r="A349" s="114">
        <f>IF(G349&lt;&gt;"",1+MAX($A$6:A348),"")</f>
        <v>221</v>
      </c>
      <c r="B349" s="115" t="s">
        <v>279</v>
      </c>
      <c r="C349" s="13"/>
      <c r="D349" s="12"/>
      <c r="E349" s="238" t="s">
        <v>264</v>
      </c>
      <c r="F349" s="237" t="s">
        <v>94</v>
      </c>
      <c r="G349" s="237">
        <v>995.98</v>
      </c>
      <c r="H349" s="6">
        <v>7.0000000000000007E-2</v>
      </c>
      <c r="I349" s="16">
        <f t="shared" si="183"/>
        <v>1065.6986000000002</v>
      </c>
      <c r="J349" s="21">
        <v>0</v>
      </c>
      <c r="K349" s="21">
        <v>0</v>
      </c>
      <c r="L349" s="112">
        <f t="shared" si="192"/>
        <v>0</v>
      </c>
      <c r="M349" s="112">
        <f t="shared" si="193"/>
        <v>0</v>
      </c>
      <c r="N349" s="22">
        <f t="shared" si="199"/>
        <v>0</v>
      </c>
      <c r="O349" s="19"/>
    </row>
    <row r="350" spans="1:18" ht="15.75" x14ac:dyDescent="0.2">
      <c r="A350" s="114">
        <f>IF(G350&lt;&gt;"",1+MAX($A$6:A349),"")</f>
        <v>222</v>
      </c>
      <c r="B350" s="115" t="s">
        <v>279</v>
      </c>
      <c r="C350" s="13"/>
      <c r="D350" s="12"/>
      <c r="E350" s="238" t="s">
        <v>265</v>
      </c>
      <c r="F350" s="237" t="s">
        <v>94</v>
      </c>
      <c r="G350" s="237">
        <v>628.04</v>
      </c>
      <c r="H350" s="6">
        <v>7.0000000000000007E-2</v>
      </c>
      <c r="I350" s="16">
        <f t="shared" si="183"/>
        <v>672.00279999999998</v>
      </c>
      <c r="J350" s="21">
        <v>0</v>
      </c>
      <c r="K350" s="21">
        <v>0</v>
      </c>
      <c r="L350" s="112">
        <f>J350*I350</f>
        <v>0</v>
      </c>
      <c r="M350" s="112">
        <f>K350*I350</f>
        <v>0</v>
      </c>
      <c r="N350" s="22">
        <f t="shared" si="199"/>
        <v>0</v>
      </c>
      <c r="O350" s="19"/>
    </row>
    <row r="351" spans="1:18" s="121" customFormat="1" ht="15.75" x14ac:dyDescent="0.2">
      <c r="A351" s="114">
        <f>IF(G351&lt;&gt;"",1+MAX($A$6:A350),"")</f>
        <v>223</v>
      </c>
      <c r="B351" s="115" t="s">
        <v>279</v>
      </c>
      <c r="C351" s="116"/>
      <c r="D351" s="132"/>
      <c r="E351" s="238" t="s">
        <v>266</v>
      </c>
      <c r="F351" s="237" t="s">
        <v>94</v>
      </c>
      <c r="G351" s="237">
        <v>1096.3</v>
      </c>
      <c r="H351" s="133">
        <v>7.0000000000000007E-2</v>
      </c>
      <c r="I351" s="118">
        <f t="shared" si="183"/>
        <v>1173.0409999999999</v>
      </c>
      <c r="J351" s="21">
        <v>0</v>
      </c>
      <c r="K351" s="21">
        <v>0</v>
      </c>
      <c r="L351" s="112">
        <f>J351*I351</f>
        <v>0</v>
      </c>
      <c r="M351" s="112">
        <f>K351*I351</f>
        <v>0</v>
      </c>
      <c r="N351" s="22">
        <f>L351+M351</f>
        <v>0</v>
      </c>
      <c r="O351" s="120"/>
      <c r="P351" s="134"/>
      <c r="Q351" s="134"/>
      <c r="R351" s="134"/>
    </row>
    <row r="352" spans="1:18" ht="15.75" x14ac:dyDescent="0.2">
      <c r="A352" s="114">
        <f>IF(G352&lt;&gt;"",1+MAX($A$6:A351),"")</f>
        <v>224</v>
      </c>
      <c r="B352" s="115" t="s">
        <v>279</v>
      </c>
      <c r="C352" s="13"/>
      <c r="D352" s="65"/>
      <c r="E352" s="238" t="s">
        <v>267</v>
      </c>
      <c r="F352" s="237" t="s">
        <v>94</v>
      </c>
      <c r="G352" s="237">
        <v>77.290000000000006</v>
      </c>
      <c r="H352" s="6">
        <v>7.0000000000000007E-2</v>
      </c>
      <c r="I352" s="16">
        <f t="shared" si="183"/>
        <v>82.700300000000013</v>
      </c>
      <c r="J352" s="21">
        <v>0</v>
      </c>
      <c r="K352" s="21">
        <v>0</v>
      </c>
      <c r="L352" s="112">
        <f>J352*I352</f>
        <v>0</v>
      </c>
      <c r="M352" s="112">
        <f>K352*I352</f>
        <v>0</v>
      </c>
      <c r="N352" s="22">
        <f t="shared" ref="N352:N353" si="200">L352+M352</f>
        <v>0</v>
      </c>
      <c r="O352" s="61"/>
    </row>
    <row r="353" spans="1:18" ht="16.5" thickBot="1" x14ac:dyDescent="0.25">
      <c r="A353" s="114">
        <f>IF(G353&lt;&gt;"",1+MAX($A$6:A352),"")</f>
        <v>225</v>
      </c>
      <c r="B353" s="115" t="s">
        <v>279</v>
      </c>
      <c r="C353" s="13"/>
      <c r="D353" s="12"/>
      <c r="E353" s="238" t="s">
        <v>268</v>
      </c>
      <c r="F353" s="237" t="s">
        <v>94</v>
      </c>
      <c r="G353" s="237">
        <v>287.06</v>
      </c>
      <c r="H353" s="6">
        <v>7.0000000000000007E-2</v>
      </c>
      <c r="I353" s="16">
        <f t="shared" si="183"/>
        <v>307.1542</v>
      </c>
      <c r="J353" s="21">
        <v>0</v>
      </c>
      <c r="K353" s="21">
        <v>0</v>
      </c>
      <c r="L353" s="112">
        <f>J353*I353</f>
        <v>0</v>
      </c>
      <c r="M353" s="112">
        <f>K353*I353</f>
        <v>0</v>
      </c>
      <c r="N353" s="22">
        <f t="shared" si="200"/>
        <v>0</v>
      </c>
      <c r="O353" s="19"/>
    </row>
    <row r="354" spans="1:18" ht="15.75" thickBot="1" x14ac:dyDescent="0.2">
      <c r="A354" s="114" t="str">
        <f>IF(G354&lt;&gt;"",1+MAX($A$6:A353),"")</f>
        <v/>
      </c>
      <c r="B354" s="115"/>
      <c r="C354" s="50"/>
      <c r="D354" s="132"/>
      <c r="E354" s="259" t="s">
        <v>276</v>
      </c>
      <c r="F354" s="260"/>
      <c r="G354" s="261"/>
      <c r="H354" s="52"/>
      <c r="I354" s="53"/>
      <c r="J354" s="54"/>
      <c r="K354" s="54"/>
      <c r="L354" s="54"/>
      <c r="M354" s="54"/>
      <c r="N354" s="55"/>
      <c r="O354" s="19"/>
    </row>
    <row r="355" spans="1:18" ht="16.5" thickBot="1" x14ac:dyDescent="0.25">
      <c r="A355" s="114">
        <f>IF(G355&lt;&gt;"",1+MAX($A$6:A354),"")</f>
        <v>226</v>
      </c>
      <c r="B355" s="115" t="s">
        <v>280</v>
      </c>
      <c r="C355" s="13"/>
      <c r="D355" s="12"/>
      <c r="E355" s="238" t="s">
        <v>269</v>
      </c>
      <c r="F355" s="237" t="s">
        <v>33</v>
      </c>
      <c r="G355" s="237">
        <v>7</v>
      </c>
      <c r="H355" s="6">
        <v>7.0000000000000007E-2</v>
      </c>
      <c r="I355" s="16">
        <f t="shared" ref="I355:I376" si="201">G355*(1+H355)</f>
        <v>7.49</v>
      </c>
      <c r="J355" s="21">
        <v>0</v>
      </c>
      <c r="K355" s="21">
        <v>0</v>
      </c>
      <c r="L355" s="112">
        <f t="shared" ref="L355" si="202">J355*I355</f>
        <v>0</v>
      </c>
      <c r="M355" s="112">
        <f t="shared" ref="M355" si="203">K355*I355</f>
        <v>0</v>
      </c>
      <c r="N355" s="22">
        <f t="shared" ref="N355" si="204">L355+M355</f>
        <v>0</v>
      </c>
      <c r="O355" s="19"/>
    </row>
    <row r="356" spans="1:18" ht="15.75" thickBot="1" x14ac:dyDescent="0.2">
      <c r="A356" s="114" t="str">
        <f>IF(G356&lt;&gt;"",1+MAX($A$6:A355),"")</f>
        <v/>
      </c>
      <c r="B356" s="115"/>
      <c r="C356" s="50"/>
      <c r="D356" s="132"/>
      <c r="E356" s="259" t="s">
        <v>96</v>
      </c>
      <c r="F356" s="260"/>
      <c r="G356" s="261"/>
      <c r="H356" s="52"/>
      <c r="I356" s="53"/>
      <c r="J356" s="54"/>
      <c r="K356" s="54"/>
      <c r="L356" s="54"/>
      <c r="M356" s="54"/>
      <c r="N356" s="55"/>
      <c r="O356" s="19"/>
    </row>
    <row r="357" spans="1:18" ht="15.75" x14ac:dyDescent="0.2">
      <c r="A357" s="114">
        <f>IF(G357&lt;&gt;"",1+MAX($A$6:A356),"")</f>
        <v>227</v>
      </c>
      <c r="B357" s="115" t="s">
        <v>277</v>
      </c>
      <c r="C357" s="13"/>
      <c r="D357" s="12"/>
      <c r="E357" s="238" t="s">
        <v>270</v>
      </c>
      <c r="F357" s="237" t="s">
        <v>12</v>
      </c>
      <c r="G357" s="237">
        <v>36472.1</v>
      </c>
      <c r="H357" s="6">
        <v>7.0000000000000007E-2</v>
      </c>
      <c r="I357" s="16">
        <f t="shared" si="201"/>
        <v>39025.146999999997</v>
      </c>
      <c r="J357" s="21">
        <v>0</v>
      </c>
      <c r="K357" s="21">
        <v>0</v>
      </c>
      <c r="L357" s="112">
        <f t="shared" ref="L357:L364" si="205">J357*I357</f>
        <v>0</v>
      </c>
      <c r="M357" s="112">
        <f t="shared" ref="M357:M364" si="206">K357*I357</f>
        <v>0</v>
      </c>
      <c r="N357" s="22">
        <f t="shared" ref="N357" si="207">L357+M357</f>
        <v>0</v>
      </c>
      <c r="O357" s="19"/>
    </row>
    <row r="358" spans="1:18" s="121" customFormat="1" ht="15.75" x14ac:dyDescent="0.2">
      <c r="A358" s="114">
        <f>IF(G358&lt;&gt;"",1+MAX($A$6:A357),"")</f>
        <v>228</v>
      </c>
      <c r="B358" s="115" t="s">
        <v>277</v>
      </c>
      <c r="C358" s="116"/>
      <c r="D358" s="132"/>
      <c r="E358" s="238" t="s">
        <v>271</v>
      </c>
      <c r="F358" s="237" t="s">
        <v>12</v>
      </c>
      <c r="G358" s="237">
        <v>111018.24000000001</v>
      </c>
      <c r="H358" s="133">
        <v>7.0000000000000007E-2</v>
      </c>
      <c r="I358" s="118">
        <f t="shared" si="201"/>
        <v>118789.51680000001</v>
      </c>
      <c r="J358" s="21">
        <v>0</v>
      </c>
      <c r="K358" s="21">
        <v>0</v>
      </c>
      <c r="L358" s="112">
        <f t="shared" si="205"/>
        <v>0</v>
      </c>
      <c r="M358" s="112">
        <f t="shared" si="206"/>
        <v>0</v>
      </c>
      <c r="N358" s="22">
        <f>L358+M358</f>
        <v>0</v>
      </c>
      <c r="O358" s="120"/>
      <c r="P358" s="134"/>
      <c r="Q358" s="134"/>
      <c r="R358" s="134"/>
    </row>
    <row r="359" spans="1:18" ht="15.75" x14ac:dyDescent="0.2">
      <c r="A359" s="114">
        <f>IF(G359&lt;&gt;"",1+MAX($A$6:A358),"")</f>
        <v>229</v>
      </c>
      <c r="B359" s="115" t="s">
        <v>277</v>
      </c>
      <c r="C359" s="13"/>
      <c r="D359" s="65"/>
      <c r="E359" s="238" t="s">
        <v>272</v>
      </c>
      <c r="F359" s="237" t="s">
        <v>12</v>
      </c>
      <c r="G359" s="237">
        <v>2968.41</v>
      </c>
      <c r="H359" s="6">
        <v>7.0000000000000007E-2</v>
      </c>
      <c r="I359" s="16">
        <f t="shared" si="201"/>
        <v>3176.1986999999999</v>
      </c>
      <c r="J359" s="21">
        <v>0</v>
      </c>
      <c r="K359" s="21">
        <v>0</v>
      </c>
      <c r="L359" s="112">
        <f t="shared" si="205"/>
        <v>0</v>
      </c>
      <c r="M359" s="112">
        <f t="shared" si="206"/>
        <v>0</v>
      </c>
      <c r="N359" s="22">
        <f t="shared" ref="N359:N360" si="208">L359+M359</f>
        <v>0</v>
      </c>
      <c r="O359" s="61"/>
    </row>
    <row r="360" spans="1:18" ht="15.75" x14ac:dyDescent="0.2">
      <c r="A360" s="114">
        <f>IF(G360&lt;&gt;"",1+MAX($A$6:A359),"")</f>
        <v>230</v>
      </c>
      <c r="B360" s="115" t="s">
        <v>277</v>
      </c>
      <c r="C360" s="13"/>
      <c r="D360" s="12"/>
      <c r="E360" s="238" t="s">
        <v>273</v>
      </c>
      <c r="F360" s="237" t="s">
        <v>12</v>
      </c>
      <c r="G360" s="237">
        <v>3202.52</v>
      </c>
      <c r="H360" s="6">
        <v>7.0000000000000007E-2</v>
      </c>
      <c r="I360" s="16">
        <f t="shared" si="201"/>
        <v>3426.6964000000003</v>
      </c>
      <c r="J360" s="21">
        <v>0</v>
      </c>
      <c r="K360" s="21">
        <v>0</v>
      </c>
      <c r="L360" s="112">
        <f t="shared" si="205"/>
        <v>0</v>
      </c>
      <c r="M360" s="112">
        <f t="shared" si="206"/>
        <v>0</v>
      </c>
      <c r="N360" s="22">
        <f t="shared" si="208"/>
        <v>0</v>
      </c>
      <c r="O360" s="19"/>
    </row>
    <row r="361" spans="1:18" ht="15.75" x14ac:dyDescent="0.2">
      <c r="A361" s="114" t="str">
        <f>IF(G361&lt;&gt;"",1+MAX($A$6:A360),"")</f>
        <v/>
      </c>
      <c r="B361" s="115"/>
      <c r="C361" s="13"/>
      <c r="D361" s="67"/>
      <c r="E361" s="239" t="s">
        <v>308</v>
      </c>
      <c r="F361" s="237"/>
      <c r="G361" s="237"/>
      <c r="H361" s="6"/>
      <c r="I361" s="16"/>
      <c r="J361" s="24"/>
      <c r="K361" s="24"/>
      <c r="L361" s="112"/>
      <c r="M361" s="112"/>
      <c r="N361" s="22"/>
      <c r="O361" s="19"/>
    </row>
    <row r="362" spans="1:18" s="121" customFormat="1" ht="15.75" x14ac:dyDescent="0.2">
      <c r="A362" s="114">
        <f>IF(G362&lt;&gt;"",1+MAX($A$6:A361),"")</f>
        <v>231</v>
      </c>
      <c r="B362" s="115" t="s">
        <v>277</v>
      </c>
      <c r="C362" s="116"/>
      <c r="D362" s="132"/>
      <c r="E362" s="243" t="s">
        <v>299</v>
      </c>
      <c r="F362" s="244" t="s">
        <v>33</v>
      </c>
      <c r="G362" s="244">
        <v>1664</v>
      </c>
      <c r="H362" s="133">
        <v>7.0000000000000007E-2</v>
      </c>
      <c r="I362" s="118">
        <f t="shared" si="201"/>
        <v>1780.48</v>
      </c>
      <c r="J362" s="21">
        <v>0</v>
      </c>
      <c r="K362" s="21">
        <v>0</v>
      </c>
      <c r="L362" s="112">
        <f t="shared" si="205"/>
        <v>0</v>
      </c>
      <c r="M362" s="112">
        <f t="shared" si="206"/>
        <v>0</v>
      </c>
      <c r="N362" s="22">
        <f>L362+M362</f>
        <v>0</v>
      </c>
      <c r="O362" s="120"/>
      <c r="P362" s="134"/>
      <c r="Q362" s="134"/>
      <c r="R362" s="134"/>
    </row>
    <row r="363" spans="1:18" ht="15.75" x14ac:dyDescent="0.2">
      <c r="A363" s="114" t="str">
        <f>IF(G363&lt;&gt;"",1+MAX($A$6:A362),"")</f>
        <v/>
      </c>
      <c r="B363" s="115"/>
      <c r="C363" s="13"/>
      <c r="D363" s="67"/>
      <c r="E363" s="239" t="s">
        <v>309</v>
      </c>
      <c r="F363" s="237"/>
      <c r="G363" s="237"/>
      <c r="H363" s="6"/>
      <c r="I363" s="16"/>
      <c r="J363" s="24"/>
      <c r="K363" s="24"/>
      <c r="L363" s="112"/>
      <c r="M363" s="112"/>
      <c r="N363" s="22"/>
      <c r="O363" s="19"/>
    </row>
    <row r="364" spans="1:18" s="121" customFormat="1" ht="30" x14ac:dyDescent="0.2">
      <c r="A364" s="114">
        <f>IF(G364&lt;&gt;"",1+MAX($A$6:A363),"")</f>
        <v>232</v>
      </c>
      <c r="B364" s="115" t="s">
        <v>277</v>
      </c>
      <c r="C364" s="116"/>
      <c r="D364" s="227"/>
      <c r="E364" s="243" t="s">
        <v>300</v>
      </c>
      <c r="F364" s="244" t="s">
        <v>33</v>
      </c>
      <c r="G364" s="244">
        <v>10</v>
      </c>
      <c r="H364" s="133">
        <v>7.0000000000000007E-2</v>
      </c>
      <c r="I364" s="118">
        <f t="shared" si="201"/>
        <v>10.700000000000001</v>
      </c>
      <c r="J364" s="209">
        <v>0</v>
      </c>
      <c r="K364" s="209">
        <v>0</v>
      </c>
      <c r="L364" s="210">
        <f t="shared" si="205"/>
        <v>0</v>
      </c>
      <c r="M364" s="210">
        <f t="shared" si="206"/>
        <v>0</v>
      </c>
      <c r="N364" s="211">
        <f t="shared" ref="N364:N365" si="209">L364+M364</f>
        <v>0</v>
      </c>
      <c r="O364" s="228"/>
    </row>
    <row r="365" spans="1:18" s="121" customFormat="1" ht="45" x14ac:dyDescent="0.2">
      <c r="A365" s="114">
        <f>IF(G365&lt;&gt;"",1+MAX($A$6:A364),"")</f>
        <v>233</v>
      </c>
      <c r="B365" s="115" t="s">
        <v>277</v>
      </c>
      <c r="C365" s="116"/>
      <c r="D365" s="117"/>
      <c r="E365" s="243" t="s">
        <v>301</v>
      </c>
      <c r="F365" s="244" t="s">
        <v>33</v>
      </c>
      <c r="G365" s="244">
        <v>19</v>
      </c>
      <c r="H365" s="133">
        <v>7.0000000000000007E-2</v>
      </c>
      <c r="I365" s="118">
        <f t="shared" si="201"/>
        <v>20.330000000000002</v>
      </c>
      <c r="J365" s="209">
        <v>0</v>
      </c>
      <c r="K365" s="209">
        <v>0</v>
      </c>
      <c r="L365" s="210">
        <f t="shared" ref="L365:L371" si="210">J365*I365</f>
        <v>0</v>
      </c>
      <c r="M365" s="210">
        <f t="shared" ref="M365:M371" si="211">K365*I365</f>
        <v>0</v>
      </c>
      <c r="N365" s="211">
        <f t="shared" si="209"/>
        <v>0</v>
      </c>
      <c r="O365" s="120"/>
    </row>
    <row r="366" spans="1:18" s="121" customFormat="1" ht="30" x14ac:dyDescent="0.2">
      <c r="A366" s="114">
        <f>IF(G366&lt;&gt;"",1+MAX($A$6:A365),"")</f>
        <v>234</v>
      </c>
      <c r="B366" s="115" t="s">
        <v>277</v>
      </c>
      <c r="C366" s="116"/>
      <c r="D366" s="132"/>
      <c r="E366" s="243" t="s">
        <v>302</v>
      </c>
      <c r="F366" s="244" t="s">
        <v>33</v>
      </c>
      <c r="G366" s="244">
        <v>3</v>
      </c>
      <c r="H366" s="133">
        <v>7.0000000000000007E-2</v>
      </c>
      <c r="I366" s="118">
        <f t="shared" si="201"/>
        <v>3.21</v>
      </c>
      <c r="J366" s="209">
        <v>0</v>
      </c>
      <c r="K366" s="209">
        <v>0</v>
      </c>
      <c r="L366" s="210">
        <f t="shared" si="210"/>
        <v>0</v>
      </c>
      <c r="M366" s="210">
        <f t="shared" si="211"/>
        <v>0</v>
      </c>
      <c r="N366" s="211">
        <f>L366+M366</f>
        <v>0</v>
      </c>
      <c r="O366" s="120"/>
      <c r="P366" s="134"/>
      <c r="Q366" s="134"/>
      <c r="R366" s="134"/>
    </row>
    <row r="367" spans="1:18" s="121" customFormat="1" ht="30" x14ac:dyDescent="0.2">
      <c r="A367" s="114">
        <f>IF(G367&lt;&gt;"",1+MAX($A$6:A366),"")</f>
        <v>235</v>
      </c>
      <c r="B367" s="115" t="s">
        <v>277</v>
      </c>
      <c r="C367" s="116"/>
      <c r="D367" s="227"/>
      <c r="E367" s="243" t="s">
        <v>303</v>
      </c>
      <c r="F367" s="244" t="s">
        <v>33</v>
      </c>
      <c r="G367" s="244">
        <v>9</v>
      </c>
      <c r="H367" s="133">
        <v>7.0000000000000007E-2</v>
      </c>
      <c r="I367" s="118">
        <f t="shared" si="201"/>
        <v>9.6300000000000008</v>
      </c>
      <c r="J367" s="209">
        <v>0</v>
      </c>
      <c r="K367" s="209">
        <v>0</v>
      </c>
      <c r="L367" s="210">
        <f t="shared" si="210"/>
        <v>0</v>
      </c>
      <c r="M367" s="210">
        <f t="shared" si="211"/>
        <v>0</v>
      </c>
      <c r="N367" s="211">
        <f t="shared" ref="N367:N368" si="212">L367+M367</f>
        <v>0</v>
      </c>
      <c r="O367" s="228"/>
    </row>
    <row r="368" spans="1:18" s="121" customFormat="1" ht="30" x14ac:dyDescent="0.2">
      <c r="A368" s="114">
        <f>IF(G368&lt;&gt;"",1+MAX($A$6:A367),"")</f>
        <v>236</v>
      </c>
      <c r="B368" s="115" t="s">
        <v>277</v>
      </c>
      <c r="C368" s="116"/>
      <c r="D368" s="117"/>
      <c r="E368" s="243" t="s">
        <v>304</v>
      </c>
      <c r="F368" s="244" t="s">
        <v>33</v>
      </c>
      <c r="G368" s="244">
        <v>1</v>
      </c>
      <c r="H368" s="133">
        <v>7.0000000000000007E-2</v>
      </c>
      <c r="I368" s="118">
        <f t="shared" si="201"/>
        <v>1.07</v>
      </c>
      <c r="J368" s="209">
        <v>0</v>
      </c>
      <c r="K368" s="209">
        <v>0</v>
      </c>
      <c r="L368" s="210">
        <f t="shared" si="210"/>
        <v>0</v>
      </c>
      <c r="M368" s="210">
        <f t="shared" si="211"/>
        <v>0</v>
      </c>
      <c r="N368" s="211">
        <f t="shared" si="212"/>
        <v>0</v>
      </c>
      <c r="O368" s="120"/>
    </row>
    <row r="369" spans="1:31" s="121" customFormat="1" ht="45" x14ac:dyDescent="0.2">
      <c r="A369" s="114">
        <f>IF(G369&lt;&gt;"",1+MAX($A$6:A368),"")</f>
        <v>237</v>
      </c>
      <c r="B369" s="115" t="s">
        <v>277</v>
      </c>
      <c r="C369" s="116"/>
      <c r="D369" s="132"/>
      <c r="E369" s="243" t="s">
        <v>305</v>
      </c>
      <c r="F369" s="244" t="s">
        <v>33</v>
      </c>
      <c r="G369" s="244">
        <v>38</v>
      </c>
      <c r="H369" s="133">
        <v>7.0000000000000007E-2</v>
      </c>
      <c r="I369" s="118">
        <f t="shared" si="201"/>
        <v>40.660000000000004</v>
      </c>
      <c r="J369" s="209">
        <v>0</v>
      </c>
      <c r="K369" s="209">
        <v>0</v>
      </c>
      <c r="L369" s="210">
        <f t="shared" si="210"/>
        <v>0</v>
      </c>
      <c r="M369" s="210">
        <f t="shared" si="211"/>
        <v>0</v>
      </c>
      <c r="N369" s="211">
        <f>L369+M369</f>
        <v>0</v>
      </c>
      <c r="O369" s="120"/>
      <c r="P369" s="134"/>
      <c r="Q369" s="134"/>
      <c r="R369" s="134"/>
    </row>
    <row r="370" spans="1:31" s="121" customFormat="1" ht="30" x14ac:dyDescent="0.2">
      <c r="A370" s="114">
        <f>IF(G370&lt;&gt;"",1+MAX($A$6:A369),"")</f>
        <v>238</v>
      </c>
      <c r="B370" s="115" t="s">
        <v>277</v>
      </c>
      <c r="C370" s="116"/>
      <c r="D370" s="227"/>
      <c r="E370" s="243" t="s">
        <v>306</v>
      </c>
      <c r="F370" s="244" t="s">
        <v>33</v>
      </c>
      <c r="G370" s="244">
        <v>21</v>
      </c>
      <c r="H370" s="133">
        <v>7.0000000000000007E-2</v>
      </c>
      <c r="I370" s="118">
        <f t="shared" si="201"/>
        <v>22.470000000000002</v>
      </c>
      <c r="J370" s="209">
        <v>0</v>
      </c>
      <c r="K370" s="209">
        <v>0</v>
      </c>
      <c r="L370" s="210">
        <f t="shared" si="210"/>
        <v>0</v>
      </c>
      <c r="M370" s="210">
        <f t="shared" si="211"/>
        <v>0</v>
      </c>
      <c r="N370" s="211">
        <f t="shared" ref="N370:N371" si="213">L370+M370</f>
        <v>0</v>
      </c>
      <c r="O370" s="228"/>
    </row>
    <row r="371" spans="1:31" s="121" customFormat="1" ht="45.75" thickBot="1" x14ac:dyDescent="0.25">
      <c r="A371" s="114">
        <f>IF(G371&lt;&gt;"",1+MAX($A$6:A370),"")</f>
        <v>239</v>
      </c>
      <c r="B371" s="115" t="s">
        <v>277</v>
      </c>
      <c r="C371" s="116"/>
      <c r="D371" s="117"/>
      <c r="E371" s="243" t="s">
        <v>307</v>
      </c>
      <c r="F371" s="244" t="s">
        <v>33</v>
      </c>
      <c r="G371" s="244">
        <v>5</v>
      </c>
      <c r="H371" s="133">
        <v>7.0000000000000007E-2</v>
      </c>
      <c r="I371" s="118">
        <f t="shared" si="201"/>
        <v>5.3500000000000005</v>
      </c>
      <c r="J371" s="209">
        <v>0</v>
      </c>
      <c r="K371" s="209">
        <v>0</v>
      </c>
      <c r="L371" s="210">
        <f t="shared" si="210"/>
        <v>0</v>
      </c>
      <c r="M371" s="210">
        <f t="shared" si="211"/>
        <v>0</v>
      </c>
      <c r="N371" s="211">
        <f t="shared" si="213"/>
        <v>0</v>
      </c>
      <c r="O371" s="120"/>
    </row>
    <row r="372" spans="1:31" ht="15.75" thickBot="1" x14ac:dyDescent="0.2">
      <c r="A372" s="114" t="str">
        <f>IF(G372&lt;&gt;"",1+MAX($A$6:A371),"")</f>
        <v/>
      </c>
      <c r="B372" s="115"/>
      <c r="C372" s="50"/>
      <c r="D372" s="132"/>
      <c r="E372" s="259" t="s">
        <v>310</v>
      </c>
      <c r="F372" s="260"/>
      <c r="G372" s="261"/>
      <c r="H372" s="52"/>
      <c r="I372" s="53"/>
      <c r="J372" s="54"/>
      <c r="K372" s="54"/>
      <c r="L372" s="54"/>
      <c r="M372" s="54"/>
      <c r="N372" s="55"/>
      <c r="O372" s="19"/>
    </row>
    <row r="373" spans="1:31" s="121" customFormat="1" ht="74.25" x14ac:dyDescent="0.2">
      <c r="A373" s="114">
        <f>IF(G373&lt;&gt;"",1+MAX($A$6:A372),"")</f>
        <v>240</v>
      </c>
      <c r="B373" s="245" t="s">
        <v>315</v>
      </c>
      <c r="C373" s="116"/>
      <c r="D373" s="132"/>
      <c r="E373" s="243" t="s">
        <v>311</v>
      </c>
      <c r="F373" s="244" t="s">
        <v>33</v>
      </c>
      <c r="G373" s="244">
        <v>12</v>
      </c>
      <c r="H373" s="133">
        <v>7.0000000000000007E-2</v>
      </c>
      <c r="I373" s="118">
        <f t="shared" si="201"/>
        <v>12.84</v>
      </c>
      <c r="J373" s="209">
        <v>0</v>
      </c>
      <c r="K373" s="209">
        <v>0</v>
      </c>
      <c r="L373" s="210">
        <f>J373*I373</f>
        <v>0</v>
      </c>
      <c r="M373" s="210">
        <f>K373*I373</f>
        <v>0</v>
      </c>
      <c r="N373" s="211">
        <f>L373+M373</f>
        <v>0</v>
      </c>
      <c r="O373" s="120"/>
      <c r="P373" s="134"/>
      <c r="Q373" s="134"/>
      <c r="R373" s="134"/>
    </row>
    <row r="374" spans="1:31" s="121" customFormat="1" ht="74.25" x14ac:dyDescent="0.2">
      <c r="A374" s="114">
        <f>IF(G374&lt;&gt;"",1+MAX($A$6:A373),"")</f>
        <v>241</v>
      </c>
      <c r="B374" s="245" t="s">
        <v>315</v>
      </c>
      <c r="C374" s="116"/>
      <c r="D374" s="227"/>
      <c r="E374" s="243" t="s">
        <v>312</v>
      </c>
      <c r="F374" s="244" t="s">
        <v>33</v>
      </c>
      <c r="G374" s="244">
        <v>4</v>
      </c>
      <c r="H374" s="133">
        <v>7.0000000000000007E-2</v>
      </c>
      <c r="I374" s="118">
        <f t="shared" si="201"/>
        <v>4.28</v>
      </c>
      <c r="J374" s="209">
        <v>0</v>
      </c>
      <c r="K374" s="209">
        <v>0</v>
      </c>
      <c r="L374" s="210">
        <f>J374*I374</f>
        <v>0</v>
      </c>
      <c r="M374" s="210">
        <f>K374*I374</f>
        <v>0</v>
      </c>
      <c r="N374" s="211">
        <f t="shared" ref="N374:N375" si="214">L374+M374</f>
        <v>0</v>
      </c>
      <c r="O374" s="228"/>
    </row>
    <row r="375" spans="1:31" s="121" customFormat="1" ht="59.25" x14ac:dyDescent="0.2">
      <c r="A375" s="114">
        <f>IF(G375&lt;&gt;"",1+MAX($A$6:A374),"")</f>
        <v>242</v>
      </c>
      <c r="B375" s="245" t="s">
        <v>315</v>
      </c>
      <c r="C375" s="116"/>
      <c r="D375" s="117"/>
      <c r="E375" s="243" t="s">
        <v>313</v>
      </c>
      <c r="F375" s="244" t="s">
        <v>33</v>
      </c>
      <c r="G375" s="244">
        <v>17</v>
      </c>
      <c r="H375" s="133">
        <v>7.0000000000000007E-2</v>
      </c>
      <c r="I375" s="118">
        <f t="shared" si="201"/>
        <v>18.190000000000001</v>
      </c>
      <c r="J375" s="209">
        <v>0</v>
      </c>
      <c r="K375" s="209">
        <v>0</v>
      </c>
      <c r="L375" s="210">
        <f>J375*I375</f>
        <v>0</v>
      </c>
      <c r="M375" s="210">
        <f>K375*I375</f>
        <v>0</v>
      </c>
      <c r="N375" s="211">
        <f t="shared" si="214"/>
        <v>0</v>
      </c>
      <c r="O375" s="120"/>
    </row>
    <row r="376" spans="1:31" s="121" customFormat="1" ht="59.25" x14ac:dyDescent="0.2">
      <c r="A376" s="114">
        <f>IF(G376&lt;&gt;"",1+MAX($A$6:A375),"")</f>
        <v>243</v>
      </c>
      <c r="B376" s="245" t="s">
        <v>315</v>
      </c>
      <c r="C376" s="116"/>
      <c r="D376" s="132"/>
      <c r="E376" s="243" t="s">
        <v>314</v>
      </c>
      <c r="F376" s="244" t="s">
        <v>33</v>
      </c>
      <c r="G376" s="244">
        <v>2</v>
      </c>
      <c r="H376" s="133">
        <v>7.0000000000000007E-2</v>
      </c>
      <c r="I376" s="118">
        <f t="shared" si="201"/>
        <v>2.14</v>
      </c>
      <c r="J376" s="209">
        <v>0</v>
      </c>
      <c r="K376" s="209">
        <v>0</v>
      </c>
      <c r="L376" s="210">
        <f>J376*I376</f>
        <v>0</v>
      </c>
      <c r="M376" s="210">
        <f>K376*I376</f>
        <v>0</v>
      </c>
      <c r="N376" s="211">
        <f>L376+M376</f>
        <v>0</v>
      </c>
      <c r="O376" s="120"/>
      <c r="P376" s="134"/>
      <c r="Q376" s="134"/>
      <c r="R376" s="134"/>
    </row>
    <row r="377" spans="1:31" ht="15.75" thickBot="1" x14ac:dyDescent="0.2">
      <c r="A377" s="114" t="str">
        <f>IF(G377&lt;&gt;"",1+MAX($A$6:A376),"")</f>
        <v/>
      </c>
      <c r="B377" s="115"/>
      <c r="C377" s="13"/>
      <c r="D377" s="69"/>
      <c r="E377" s="66"/>
      <c r="F377" s="119"/>
      <c r="G377" s="11"/>
      <c r="H377" s="6"/>
      <c r="I377" s="16"/>
      <c r="J377" s="24"/>
      <c r="K377" s="24"/>
      <c r="L377" s="24"/>
      <c r="M377" s="24"/>
      <c r="N377" s="22"/>
      <c r="O377" s="61"/>
    </row>
    <row r="378" spans="1:31" ht="16.5" thickBot="1" x14ac:dyDescent="0.25">
      <c r="A378" s="114" t="str">
        <f>IF(G378&lt;&gt;"",1+MAX($A$6:A377),"")</f>
        <v/>
      </c>
      <c r="B378" s="117"/>
      <c r="C378" s="12"/>
      <c r="D378" s="70"/>
      <c r="E378" s="71" t="s">
        <v>40</v>
      </c>
      <c r="F378" s="119"/>
      <c r="G378" s="64"/>
      <c r="H378" s="72"/>
      <c r="I378" s="16"/>
      <c r="J378" s="73"/>
      <c r="K378" s="73"/>
      <c r="L378" s="73"/>
      <c r="M378" s="73"/>
      <c r="N378" s="74"/>
      <c r="O378" s="75">
        <f>SUM(N294:N377)</f>
        <v>0</v>
      </c>
      <c r="P378" s="76"/>
    </row>
    <row r="379" spans="1:31" ht="18.75" x14ac:dyDescent="0.15">
      <c r="A379" s="114" t="str">
        <f>IF(G379&lt;&gt;"",1+MAX($A$6:A76),"")</f>
        <v/>
      </c>
      <c r="B379" s="117"/>
      <c r="C379" s="12"/>
      <c r="D379" s="70"/>
      <c r="E379" s="77"/>
      <c r="F379" s="119"/>
      <c r="G379" s="64"/>
      <c r="H379" s="72"/>
      <c r="I379" s="16"/>
      <c r="J379" s="73"/>
      <c r="K379" s="73"/>
      <c r="L379" s="73"/>
      <c r="M379" s="73"/>
      <c r="N379" s="78"/>
      <c r="O379" s="79"/>
    </row>
    <row r="380" spans="1:31" ht="15.75" thickBot="1" x14ac:dyDescent="0.2">
      <c r="A380" s="114" t="str">
        <f>IF(G380&lt;&gt;"",1+MAX($A$6:A379),"")</f>
        <v/>
      </c>
      <c r="B380" s="126"/>
      <c r="C380" s="80"/>
      <c r="D380" s="80"/>
      <c r="E380" s="81"/>
      <c r="F380" s="195"/>
      <c r="G380" s="82"/>
      <c r="H380" s="83"/>
      <c r="I380" s="83"/>
      <c r="J380" s="84"/>
      <c r="K380" s="84"/>
      <c r="L380" s="84"/>
      <c r="M380" s="84"/>
      <c r="N380" s="85"/>
      <c r="O380" s="86"/>
    </row>
    <row r="381" spans="1:31" s="25" customFormat="1" ht="15.75" thickBot="1" x14ac:dyDescent="0.2">
      <c r="A381" s="253" t="s">
        <v>8</v>
      </c>
      <c r="B381" s="127"/>
      <c r="C381" s="1"/>
      <c r="D381" s="1"/>
      <c r="E381" s="2"/>
      <c r="F381" s="196"/>
      <c r="G381" s="3"/>
      <c r="H381" s="4"/>
      <c r="I381" s="4"/>
      <c r="J381" s="87"/>
      <c r="K381" s="87"/>
      <c r="L381" s="87"/>
      <c r="M381" s="87"/>
      <c r="N381" s="8">
        <f>(SUM(N7:N380))</f>
        <v>0</v>
      </c>
      <c r="O381" s="88">
        <f>SUM(O7:O380)</f>
        <v>0</v>
      </c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</row>
    <row r="382" spans="1:31" s="25" customFormat="1" ht="15.75" thickBot="1" x14ac:dyDescent="0.2">
      <c r="A382" s="254" t="s">
        <v>30</v>
      </c>
      <c r="B382" s="128"/>
      <c r="C382" s="89"/>
      <c r="D382" s="89"/>
      <c r="E382" s="90"/>
      <c r="F382" s="197"/>
      <c r="G382" s="91"/>
      <c r="H382" s="92"/>
      <c r="I382" s="92"/>
      <c r="J382" s="93">
        <v>0.125</v>
      </c>
      <c r="K382" s="93">
        <v>0.125</v>
      </c>
      <c r="L382" s="93">
        <v>0.125</v>
      </c>
      <c r="M382" s="93">
        <v>0.125</v>
      </c>
      <c r="N382" s="94">
        <f>N381*J382</f>
        <v>0</v>
      </c>
      <c r="O382" s="7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</row>
    <row r="383" spans="1:31" s="25" customFormat="1" ht="15.75" thickBot="1" x14ac:dyDescent="0.2">
      <c r="A383" s="255" t="s">
        <v>2</v>
      </c>
      <c r="B383" s="129"/>
      <c r="C383" s="95"/>
      <c r="D383" s="95"/>
      <c r="E383" s="96"/>
      <c r="F383" s="198"/>
      <c r="G383" s="97"/>
      <c r="H383" s="98"/>
      <c r="I383" s="99"/>
      <c r="J383" s="100"/>
      <c r="K383" s="100"/>
      <c r="L383" s="100"/>
      <c r="M383" s="100"/>
      <c r="N383" s="101">
        <f>SUM(N381:N382)</f>
        <v>0</v>
      </c>
      <c r="O383" s="102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</row>
    <row r="384" spans="1:31" x14ac:dyDescent="0.15">
      <c r="A384" s="256"/>
      <c r="B384" s="121"/>
      <c r="C384" s="20"/>
      <c r="D384" s="20"/>
      <c r="E384" s="20"/>
      <c r="F384" s="199"/>
      <c r="G384" s="20"/>
      <c r="H384" s="20"/>
      <c r="I384" s="20"/>
      <c r="J384" s="20"/>
      <c r="K384" s="20"/>
      <c r="L384" s="20"/>
      <c r="M384" s="20"/>
      <c r="N384" s="20"/>
      <c r="O384" s="79"/>
    </row>
    <row r="385" spans="1:15" ht="15.75" thickBot="1" x14ac:dyDescent="0.2">
      <c r="A385" s="257"/>
      <c r="B385" s="130"/>
      <c r="C385" s="103"/>
      <c r="D385" s="103"/>
      <c r="E385" s="103"/>
      <c r="F385" s="200"/>
      <c r="G385" s="103"/>
      <c r="H385" s="103"/>
      <c r="I385" s="103"/>
      <c r="J385" s="103"/>
      <c r="K385" s="103"/>
      <c r="L385" s="103"/>
      <c r="M385" s="103"/>
      <c r="N385" s="103"/>
      <c r="O385" s="104"/>
    </row>
    <row r="386" spans="1:15" x14ac:dyDescent="0.15">
      <c r="J386" s="109"/>
      <c r="K386" s="109"/>
      <c r="L386" s="109"/>
      <c r="M386" s="109"/>
    </row>
    <row r="387" spans="1:15" x14ac:dyDescent="0.15">
      <c r="J387" s="109"/>
      <c r="K387" s="109"/>
      <c r="L387" s="109"/>
      <c r="M387" s="109"/>
    </row>
    <row r="388" spans="1:15" x14ac:dyDescent="0.15">
      <c r="J388" s="109"/>
      <c r="K388" s="109"/>
      <c r="L388" s="109"/>
      <c r="M388" s="109"/>
    </row>
    <row r="389" spans="1:15" x14ac:dyDescent="0.15">
      <c r="J389" s="109"/>
      <c r="K389" s="109"/>
      <c r="L389" s="109"/>
      <c r="M389" s="109"/>
    </row>
    <row r="390" spans="1:15" x14ac:dyDescent="0.15">
      <c r="J390" s="109"/>
      <c r="K390" s="109"/>
      <c r="L390" s="109"/>
      <c r="M390" s="109"/>
    </row>
    <row r="391" spans="1:15" x14ac:dyDescent="0.15">
      <c r="J391" s="109"/>
      <c r="K391" s="109"/>
      <c r="L391" s="109"/>
      <c r="M391" s="109"/>
    </row>
    <row r="392" spans="1:15" x14ac:dyDescent="0.15">
      <c r="J392" s="109"/>
      <c r="K392" s="109"/>
      <c r="L392" s="109"/>
      <c r="M392" s="109"/>
    </row>
    <row r="393" spans="1:15" x14ac:dyDescent="0.15">
      <c r="J393" s="109"/>
      <c r="K393" s="109"/>
      <c r="L393" s="109"/>
      <c r="M393" s="109"/>
    </row>
  </sheetData>
  <autoFilter ref="A1:O393" xr:uid="{00000000-0009-0000-0000-000001000000}"/>
  <mergeCells count="53">
    <mergeCell ref="E273:G273"/>
    <mergeCell ref="E354:G354"/>
    <mergeCell ref="E356:G356"/>
    <mergeCell ref="E293:G293"/>
    <mergeCell ref="E301:G301"/>
    <mergeCell ref="E319:G319"/>
    <mergeCell ref="E326:G326"/>
    <mergeCell ref="E346:G346"/>
    <mergeCell ref="C219:D222"/>
    <mergeCell ref="G219:H222"/>
    <mergeCell ref="J219:N222"/>
    <mergeCell ref="C228:D231"/>
    <mergeCell ref="G228:H231"/>
    <mergeCell ref="J228:N231"/>
    <mergeCell ref="C201:D204"/>
    <mergeCell ref="G201:H204"/>
    <mergeCell ref="J201:N204"/>
    <mergeCell ref="C210:D213"/>
    <mergeCell ref="G210:H213"/>
    <mergeCell ref="J210:N213"/>
    <mergeCell ref="C183:D186"/>
    <mergeCell ref="G183:H186"/>
    <mergeCell ref="J183:N186"/>
    <mergeCell ref="C192:D195"/>
    <mergeCell ref="G192:H195"/>
    <mergeCell ref="J192:N195"/>
    <mergeCell ref="C165:D168"/>
    <mergeCell ref="G165:H168"/>
    <mergeCell ref="J165:N168"/>
    <mergeCell ref="C174:D177"/>
    <mergeCell ref="G174:H177"/>
    <mergeCell ref="J174:N177"/>
    <mergeCell ref="E8:G8"/>
    <mergeCell ref="E23:G23"/>
    <mergeCell ref="E38:G38"/>
    <mergeCell ref="E44:G44"/>
    <mergeCell ref="E78:G78"/>
    <mergeCell ref="E119:G119"/>
    <mergeCell ref="E372:G372"/>
    <mergeCell ref="E86:G86"/>
    <mergeCell ref="E82:G82"/>
    <mergeCell ref="E109:G109"/>
    <mergeCell ref="E107:G107"/>
    <mergeCell ref="E92:G92"/>
    <mergeCell ref="E126:G126"/>
    <mergeCell ref="E123:G123"/>
    <mergeCell ref="E140:G140"/>
    <mergeCell ref="E235:G235"/>
    <mergeCell ref="E240:G240"/>
    <mergeCell ref="E242:G242"/>
    <mergeCell ref="E246:G246"/>
    <mergeCell ref="E259:G259"/>
    <mergeCell ref="E263:G263"/>
  </mergeCells>
  <phoneticPr fontId="43" type="noConversion"/>
  <pageMargins left="0.7" right="0.7" top="0.75" bottom="0.75" header="0.3" footer="0.3"/>
  <pageSetup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</vt:lpstr>
      <vt:lpstr>Bid!Print_Area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2013-07-08T09:36:48Z</dcterms:created>
  <dcterms:modified xsi:type="dcterms:W3CDTF">2022-06-07T13:02:12Z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